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Wserver\Engineering\Calculators\"/>
    </mc:Choice>
  </mc:AlternateContent>
  <xr:revisionPtr revIDLastSave="0" documentId="13_ncr:1_{D38B0F39-4A35-4D08-AFD0-B86566C64042}" xr6:coauthVersionLast="36" xr6:coauthVersionMax="36" xr10:uidLastSave="{00000000-0000-0000-0000-000000000000}"/>
  <workbookProtection workbookAlgorithmName="SHA-512" workbookHashValue="ijJv3JhIbm+Aw4d5KdhC8wChxeFIaHgbTIzQ4HEWqkEhFfbzGX78rRHs4xeIRj9WTl6yn8L+RuEG/SH5aNbkhQ==" workbookSaltValue="tp/xcOqDLrSdk2PAqI0HXQ==" workbookSpinCount="100000" lockStructure="1"/>
  <bookViews>
    <workbookView xWindow="0" yWindow="0" windowWidth="28800" windowHeight="12795" xr2:uid="{4A856844-1A8F-44BC-8CFD-3278AE23C4A2}"/>
  </bookViews>
  <sheets>
    <sheet name="How to use this spreadsheet" sheetId="3" r:id="rId1"/>
    <sheet name="Line Length" sheetId="1" r:id="rId2"/>
    <sheet name="Calculations" sheetId="2" state="hidden" r:id="rId3"/>
  </sheets>
  <definedNames>
    <definedName name="Dispense_PSI">'Line Length'!$C$11</definedName>
    <definedName name="Drop">'Line Length'!$J$11</definedName>
    <definedName name="Hardware_Restriction">'Line Length'!$G$11</definedName>
    <definedName name="Length_of_System">'Line Length'!$E$11</definedName>
    <definedName name="Lift">'Line Length'!$I$11</definedName>
    <definedName name="LRB_1_2">'Line Length'!$I$17</definedName>
    <definedName name="LRB_1_4">'Line Length'!$F$17</definedName>
    <definedName name="LRB_3_8">'Line Length'!$H$17</definedName>
    <definedName name="LRB_5_16">'Line Length'!$G$17</definedName>
    <definedName name="LRS_1_2">'Line Length'!$I$19</definedName>
    <definedName name="LRS_1_4">'Line Length'!$F$19</definedName>
    <definedName name="LRS_3_8">'Line Length'!$H$19</definedName>
    <definedName name="LRS_5_16">'Line Length'!$G$19</definedName>
    <definedName name="LRV_1_2">'Line Length'!$I$18</definedName>
    <definedName name="LRV_1_4">'Line Length'!$F$18</definedName>
    <definedName name="LRV_3_16">'Line Length'!$E$18</definedName>
    <definedName name="LRV_3_8">'Line Length'!$H$18</definedName>
    <definedName name="LRV_5_16">'Line Length'!$G$18</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 i="2" l="1"/>
  <c r="G15" i="2" s="1"/>
  <c r="K15" i="2" s="1"/>
  <c r="E21" i="1"/>
  <c r="D22" i="2"/>
  <c r="D24" i="2"/>
  <c r="D25" i="2"/>
  <c r="D26" i="2"/>
  <c r="D27" i="2"/>
  <c r="D28" i="2"/>
  <c r="D29" i="2"/>
  <c r="D30" i="2"/>
  <c r="D31" i="2"/>
  <c r="D32" i="2"/>
  <c r="D33" i="2"/>
  <c r="D34" i="2"/>
  <c r="D35" i="2"/>
  <c r="G8" i="2" l="1"/>
  <c r="I25" i="2" s="1"/>
  <c r="G9" i="2"/>
  <c r="K9" i="2" s="1"/>
  <c r="G10" i="2"/>
  <c r="H10" i="2" s="1"/>
  <c r="I10" i="2" s="1"/>
  <c r="F26" i="1" s="1"/>
  <c r="G11" i="2"/>
  <c r="K11" i="2" s="1"/>
  <c r="G16" i="2"/>
  <c r="K16" i="2" s="1"/>
  <c r="G17" i="2"/>
  <c r="H17" i="2" s="1"/>
  <c r="G18" i="2"/>
  <c r="K18" i="2" s="1"/>
  <c r="G12" i="2"/>
  <c r="K12" i="2" s="1"/>
  <c r="G13" i="2"/>
  <c r="K13" i="2" s="1"/>
  <c r="G7" i="2"/>
  <c r="I24" i="2" s="1"/>
  <c r="G14" i="2"/>
  <c r="H14" i="2" s="1"/>
  <c r="I15" i="2"/>
  <c r="F31" i="1" s="1"/>
  <c r="H15" i="2"/>
  <c r="C8" i="2"/>
  <c r="E25" i="2" s="1"/>
  <c r="H11" i="2" l="1"/>
  <c r="I11" i="2" s="1"/>
  <c r="F27" i="1" s="1"/>
  <c r="H18" i="2"/>
  <c r="I18" i="2" s="1"/>
  <c r="F34" i="1" s="1"/>
  <c r="H16" i="2"/>
  <c r="I16" i="2" s="1"/>
  <c r="F32" i="1" s="1"/>
  <c r="I17" i="2"/>
  <c r="F33" i="1" s="1"/>
  <c r="H8" i="2"/>
  <c r="I8" i="2" s="1"/>
  <c r="F24" i="1" s="1"/>
  <c r="H12" i="2"/>
  <c r="K8" i="2"/>
  <c r="H13" i="2"/>
  <c r="I13" i="2" s="1"/>
  <c r="F29" i="1" s="1"/>
  <c r="K17" i="2"/>
  <c r="H33" i="1" s="1"/>
  <c r="K10" i="2"/>
  <c r="I27" i="2"/>
  <c r="H9" i="2"/>
  <c r="I9" i="2" s="1"/>
  <c r="F25" i="1" s="1"/>
  <c r="I26" i="2"/>
  <c r="K14" i="2"/>
  <c r="H30" i="1" s="1"/>
  <c r="I14" i="2"/>
  <c r="F30" i="1" s="1"/>
  <c r="I12" i="2"/>
  <c r="F28" i="1" s="1"/>
  <c r="C16" i="2"/>
  <c r="E33" i="2" s="1"/>
  <c r="C17" i="2"/>
  <c r="E34" i="2" s="1"/>
  <c r="C18" i="2"/>
  <c r="E35" i="2" s="1"/>
  <c r="C15" i="2"/>
  <c r="E32" i="2" s="1"/>
  <c r="C11" i="2"/>
  <c r="E28" i="2" s="1"/>
  <c r="E32" i="1"/>
  <c r="E33" i="1"/>
  <c r="E34" i="1"/>
  <c r="E31" i="1"/>
  <c r="C12" i="2"/>
  <c r="E29" i="2" s="1"/>
  <c r="H29" i="1"/>
  <c r="H28" i="1"/>
  <c r="H27" i="1"/>
  <c r="H25" i="1"/>
  <c r="C14" i="2"/>
  <c r="E31" i="2" s="1"/>
  <c r="C13" i="2"/>
  <c r="E30" i="2" s="1"/>
  <c r="C10" i="2"/>
  <c r="E27" i="2" s="1"/>
  <c r="C9" i="2"/>
  <c r="E26" i="2" s="1"/>
  <c r="C7" i="2"/>
  <c r="E24" i="2" s="1"/>
  <c r="K7" i="2" l="1"/>
  <c r="H23" i="1" s="1"/>
  <c r="H7" i="2"/>
  <c r="J8" i="2"/>
  <c r="H24" i="1"/>
  <c r="J10" i="2"/>
  <c r="H26" i="1"/>
  <c r="H32" i="1"/>
  <c r="H31" i="1"/>
  <c r="J18" i="2"/>
  <c r="G34" i="1" s="1"/>
  <c r="H34" i="1"/>
  <c r="D16" i="2"/>
  <c r="F33" i="2" s="1"/>
  <c r="J15" i="2"/>
  <c r="G31" i="1" s="1"/>
  <c r="J16" i="2"/>
  <c r="G32" i="1" s="1"/>
  <c r="D18" i="2"/>
  <c r="F35" i="2" s="1"/>
  <c r="D15" i="2"/>
  <c r="F32" i="2" s="1"/>
  <c r="J17" i="2"/>
  <c r="G33" i="1" s="1"/>
  <c r="D17" i="2"/>
  <c r="F34" i="2" s="1"/>
  <c r="J14" i="2"/>
  <c r="G30" i="1" s="1"/>
  <c r="D10" i="2"/>
  <c r="D9" i="2"/>
  <c r="F26" i="2" s="1"/>
  <c r="D8" i="2"/>
  <c r="D7" i="2"/>
  <c r="F24" i="2" s="1"/>
  <c r="E24" i="1"/>
  <c r="E25" i="1"/>
  <c r="E26" i="1"/>
  <c r="E27" i="1"/>
  <c r="E28" i="1"/>
  <c r="E29" i="1"/>
  <c r="E30" i="1"/>
  <c r="E23" i="1"/>
  <c r="I7" i="2" l="1"/>
  <c r="F23" i="1" s="1"/>
  <c r="E8" i="2"/>
  <c r="F25" i="2"/>
  <c r="E10" i="2"/>
  <c r="G27" i="2" s="1"/>
  <c r="F27" i="2"/>
  <c r="E16" i="2"/>
  <c r="E15" i="2"/>
  <c r="G32" i="2" s="1"/>
  <c r="E17" i="2"/>
  <c r="G34" i="2" s="1"/>
  <c r="E18" i="2"/>
  <c r="G35" i="2" s="1"/>
  <c r="G26" i="1"/>
  <c r="J9" i="2"/>
  <c r="G25" i="1" s="1"/>
  <c r="G24" i="1"/>
  <c r="J11" i="2"/>
  <c r="G27" i="1" s="1"/>
  <c r="J7" i="2"/>
  <c r="G23" i="1" s="1"/>
  <c r="J13" i="2"/>
  <c r="G29" i="1" s="1"/>
  <c r="J12" i="2"/>
  <c r="G28" i="1" s="1"/>
  <c r="D13" i="2"/>
  <c r="F30" i="2" s="1"/>
  <c r="D11" i="2"/>
  <c r="F28" i="2" s="1"/>
  <c r="E9" i="2"/>
  <c r="G26" i="2" s="1"/>
  <c r="E7" i="2"/>
  <c r="D12" i="2"/>
  <c r="F29" i="2" s="1"/>
  <c r="D14" i="2"/>
  <c r="F31" i="2" s="1"/>
  <c r="F10" i="2" l="1"/>
  <c r="F16" i="2"/>
  <c r="G33" i="2"/>
  <c r="F7" i="2"/>
  <c r="G24" i="2"/>
  <c r="G25" i="2"/>
  <c r="F8" i="2"/>
  <c r="F17" i="2"/>
  <c r="F18" i="2"/>
  <c r="F15" i="2"/>
  <c r="E13" i="2"/>
  <c r="E12" i="2"/>
  <c r="G29" i="2" s="1"/>
  <c r="E11" i="2"/>
  <c r="G28" i="2" s="1"/>
  <c r="F9" i="2"/>
  <c r="E14" i="2"/>
  <c r="G31" i="2" s="1"/>
  <c r="F13" i="2" l="1"/>
  <c r="G30" i="2"/>
  <c r="F11" i="2"/>
  <c r="F12" i="2"/>
  <c r="F14" i="2"/>
</calcChain>
</file>

<file path=xl/sharedStrings.xml><?xml version="1.0" encoding="utf-8"?>
<sst xmlns="http://schemas.openxmlformats.org/spreadsheetml/2006/main" count="80" uniqueCount="54">
  <si>
    <t>1/4"</t>
  </si>
  <si>
    <t>5/16"</t>
  </si>
  <si>
    <t>3/8"</t>
  </si>
  <si>
    <t>3/16"</t>
  </si>
  <si>
    <t>(PSI)</t>
  </si>
  <si>
    <t>(Feet)</t>
  </si>
  <si>
    <t>Length of Line</t>
  </si>
  <si>
    <t>3/16" Choker</t>
  </si>
  <si>
    <t>X</t>
  </si>
  <si>
    <t>Barrier</t>
  </si>
  <si>
    <t>Length needed</t>
  </si>
  <si>
    <t>Restriction Required</t>
  </si>
  <si>
    <t>lbs</t>
  </si>
  <si>
    <t>Length of Barrier</t>
  </si>
  <si>
    <t>Waste (oz/ft)</t>
  </si>
  <si>
    <t>1/2"</t>
  </si>
  <si>
    <t>New Restriction Value</t>
  </si>
  <si>
    <t>Tubing I.D.</t>
  </si>
  <si>
    <t>Waste (oz)</t>
  </si>
  <si>
    <t>Vinyl</t>
  </si>
  <si>
    <t>Hardware Restriction (see Manufacturers Specifications)</t>
  </si>
  <si>
    <t>Line Restriction Calculator</t>
  </si>
  <si>
    <t>3/16" Vinyl Choker</t>
  </si>
  <si>
    <t>3/16" Choker with Total Barrier</t>
  </si>
  <si>
    <t>Dispense Pressure (From McDantim's EasyBlend App)</t>
  </si>
  <si>
    <t>Waste (extra length)</t>
  </si>
  <si>
    <t>The Line Restriction Values should be changed if they do not match your Manufacturers Specifications</t>
  </si>
  <si>
    <t>Waste
(oz.)</t>
  </si>
  <si>
    <t>Waste 
(oz.)</t>
  </si>
  <si>
    <t>Lift (+)</t>
  </si>
  <si>
    <t>Drop (-)</t>
  </si>
  <si>
    <t>Values to input are highlighted in</t>
  </si>
  <si>
    <t>yellow</t>
  </si>
  <si>
    <t>blue</t>
  </si>
  <si>
    <t>Stainless</t>
  </si>
  <si>
    <t>Stainless (O.D.)</t>
  </si>
  <si>
    <t>Total Lift &amp; Drop
(Feet)</t>
  </si>
  <si>
    <t>Tubing</t>
  </si>
  <si>
    <t>Vinyl (I.D.)</t>
  </si>
  <si>
    <t>Barrier (I.D.)</t>
  </si>
  <si>
    <t>Stainless*</t>
  </si>
  <si>
    <t>*Note: Waste values may vary on the stainless tubing due to using typical I.D. values</t>
  </si>
  <si>
    <t>Just hit the tab button anywhere on this spreadsheet to start inputting your values</t>
  </si>
  <si>
    <t>Results are highlighted in</t>
  </si>
  <si>
    <t>(lbs.)</t>
  </si>
  <si>
    <t>Typical Line Restriction Values (lbs./ft.)</t>
  </si>
  <si>
    <t>Input</t>
  </si>
  <si>
    <t>Line Restriction</t>
  </si>
  <si>
    <t>Restriction</t>
  </si>
  <si>
    <t>choker in inches</t>
  </si>
  <si>
    <r>
      <t xml:space="preserve">This spreadsheet calculates the length of line required to maintain the desired restriction value of the system. We approach these calculations by setting the length of the line to the "Length of Barrier Tubing".
The Waste value indicates the amount of liquid in your line at all times. When considering what size line you would like to install, it is important to think about how much wasted product is left in your line when cleaning or changing kegs.
For ease of use, the choker values are rounded to the nearest inch. If your calculated restriction in the results table (based on your tubing diameter and length plus your Hardware Restriction and Total Lift and Drop) is less than your dispense pressure, make sure to add slightly more choker than our spreadsheet indicates. </t>
    </r>
    <r>
      <rPr>
        <b/>
        <sz val="11"/>
        <color theme="1"/>
        <rFont val="Open Sans"/>
        <family val="2"/>
      </rPr>
      <t>Remember, it is always better to over restrict than it is to under restrict your system.</t>
    </r>
  </si>
  <si>
    <t>This spreadsheet will help you determine the Line Length required to get the correct restriction value in your beverage system. The goal is so that you can design your system to keep your beer from over/under carbonating due to your line restriction.
Before using this spreadsheet, you need to determine the correct dispense pressure based on your gas mixture. You can do this by using our Easy Blend app.
If you already have a set Blend, take that blend and enter all of your information into the EasyBlend app or spreadsheet to get your pressure.
NOTE: If you have a system that has a large amount of lift, a horizontal run, and corresponding drop, this creates a unique situation in line restriction calculations and can cause foamy beer at the tap unless certain conditions are met.  To address this problem, the applied pressure should be set for greatest lift and line restriction should be adjusted for system balance.
If you have questions or comments, email us at info@mcdantim.com or please call McDantim @ 406-442-5153 / 888-735-5607.</t>
  </si>
  <si>
    <t>5/16</t>
  </si>
  <si>
    <t>Length of Barrier Tubing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</si>
</sst>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1"/>
      <color theme="1"/>
      <name val="Calibri"/>
      <family val="2"/>
      <scheme val="minor"/>
    </font>
    <font>
      <sz val="11"/>
      <color theme="1"/>
      <name val="Open Sans"/>
      <family val="2"/>
    </font>
    <font>
      <sz val="18"/>
      <color theme="1"/>
      <name val="Open Sans"/>
      <family val="2"/>
    </font>
    <font>
      <i/>
      <sz val="11"/>
      <color theme="1"/>
      <name val="Open Sans"/>
      <family val="2"/>
    </font>
    <font>
      <b/>
      <i/>
      <sz val="11"/>
      <color theme="1"/>
      <name val="Open Sans"/>
      <family val="2"/>
    </font>
    <font>
      <b/>
      <u/>
      <sz val="12"/>
      <color theme="1"/>
      <name val="Open Sans"/>
      <family val="2"/>
    </font>
    <font>
      <b/>
      <sz val="12"/>
      <color theme="1"/>
      <name val="Open Sans"/>
      <family val="2"/>
    </font>
    <font>
      <sz val="11"/>
      <name val="Open Sans"/>
      <family val="2"/>
    </font>
    <font>
      <sz val="16"/>
      <color theme="1"/>
      <name val="Open Sans"/>
      <family val="2"/>
    </font>
    <font>
      <b/>
      <sz val="18"/>
      <color theme="1"/>
      <name val="Open Sans"/>
      <family val="2"/>
    </font>
    <font>
      <b/>
      <sz val="11"/>
      <color theme="1"/>
      <name val="Open Sans"/>
      <family val="2"/>
    </font>
    <font>
      <b/>
      <i/>
      <sz val="11"/>
      <name val="Open Sans"/>
      <family val="2"/>
    </font>
  </fonts>
  <fills count="4">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69">
    <xf numFmtId="0" fontId="0" fillId="0" borderId="0" xfId="0"/>
    <xf numFmtId="0" fontId="1" fillId="0" borderId="0" xfId="0" applyFont="1"/>
    <xf numFmtId="0" fontId="1" fillId="0" borderId="0" xfId="0" applyFont="1" applyAlignment="1">
      <alignment horizontal="right"/>
    </xf>
    <xf numFmtId="0" fontId="1" fillId="0" borderId="0" xfId="0" applyFont="1" applyBorder="1" applyAlignment="1">
      <alignment horizontal="left" vertical="top" wrapText="1"/>
    </xf>
    <xf numFmtId="0" fontId="3" fillId="0" borderId="0" xfId="0" applyFont="1" applyAlignment="1">
      <alignment horizontal="right"/>
    </xf>
    <xf numFmtId="0" fontId="4" fillId="2" borderId="0" xfId="0" applyFont="1" applyFill="1"/>
    <xf numFmtId="0" fontId="3" fillId="0" borderId="0" xfId="0" applyFont="1" applyFill="1" applyAlignment="1"/>
    <xf numFmtId="0" fontId="3" fillId="0" borderId="0" xfId="0" applyFont="1" applyFill="1" applyAlignment="1">
      <alignment wrapText="1"/>
    </xf>
    <xf numFmtId="0" fontId="1" fillId="0" borderId="0" xfId="0" applyFont="1" applyAlignment="1">
      <alignmen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0" borderId="0" xfId="0" applyFont="1" applyBorder="1" applyAlignment="1">
      <alignment horizontal="center"/>
    </xf>
    <xf numFmtId="0" fontId="1" fillId="0" borderId="0" xfId="0" applyFont="1" applyBorder="1" applyAlignment="1"/>
    <xf numFmtId="0" fontId="1" fillId="0" borderId="1" xfId="0" applyFont="1" applyBorder="1" applyAlignment="1">
      <alignment horizontal="right"/>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1" fillId="0" borderId="0" xfId="0" applyFont="1" applyAlignment="1">
      <alignment horizontal="center" vertical="center" wrapText="1"/>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0" borderId="0" xfId="0" applyFont="1" applyAlignment="1"/>
    <xf numFmtId="0" fontId="1" fillId="0" borderId="0" xfId="0" applyFont="1" applyAlignment="1">
      <alignment horizontal="center"/>
    </xf>
    <xf numFmtId="0" fontId="1" fillId="0" borderId="0" xfId="0" applyFont="1" applyAlignment="1">
      <alignment vertical="center"/>
    </xf>
    <xf numFmtId="0" fontId="1" fillId="3" borderId="12" xfId="0" applyFont="1" applyFill="1" applyBorder="1" applyAlignment="1">
      <alignment horizontal="right" vertical="center"/>
    </xf>
    <xf numFmtId="0" fontId="1" fillId="3" borderId="15" xfId="0" applyFont="1" applyFill="1" applyBorder="1" applyAlignment="1">
      <alignment horizontal="right" vertical="center"/>
    </xf>
    <xf numFmtId="0" fontId="1" fillId="3" borderId="17" xfId="0" applyFont="1" applyFill="1" applyBorder="1" applyAlignment="1">
      <alignment horizontal="right" vertical="center"/>
    </xf>
    <xf numFmtId="0" fontId="1" fillId="3" borderId="2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2" xfId="0" applyFont="1" applyFill="1" applyBorder="1" applyAlignment="1">
      <alignment horizontal="center" vertical="center"/>
    </xf>
    <xf numFmtId="0" fontId="1" fillId="0" borderId="0" xfId="0" applyFont="1" applyFill="1"/>
    <xf numFmtId="0" fontId="1" fillId="0" borderId="0" xfId="0" applyFont="1" applyFill="1" applyAlignment="1">
      <alignment horizontal="center" vertical="center"/>
    </xf>
    <xf numFmtId="0" fontId="6" fillId="0" borderId="0" xfId="0" applyFont="1" applyFill="1" applyBorder="1" applyAlignment="1">
      <alignment horizont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xf>
    <xf numFmtId="2" fontId="1" fillId="0" borderId="0" xfId="0" applyNumberFormat="1" applyFont="1" applyAlignment="1">
      <alignment horizontal="center" vertical="center"/>
    </xf>
    <xf numFmtId="164" fontId="1" fillId="3" borderId="16" xfId="0" applyNumberFormat="1" applyFont="1" applyFill="1" applyBorder="1" applyAlignment="1">
      <alignment horizontal="center" vertical="center"/>
    </xf>
    <xf numFmtId="0" fontId="3" fillId="0" borderId="0" xfId="0" applyFont="1" applyAlignment="1"/>
    <xf numFmtId="0" fontId="3" fillId="0" borderId="0" xfId="0" applyFont="1" applyBorder="1" applyAlignment="1">
      <alignment horizontal="right"/>
    </xf>
    <xf numFmtId="0" fontId="11" fillId="3" borderId="0" xfId="0" applyFont="1" applyFill="1" applyAlignment="1"/>
    <xf numFmtId="0" fontId="1" fillId="0" borderId="0" xfId="0" quotePrefix="1" applyFont="1" applyAlignment="1">
      <alignment horizontal="center"/>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3" xfId="0" applyFont="1" applyBorder="1" applyAlignment="1">
      <alignment horizontal="left" vertical="top" wrapText="1"/>
    </xf>
    <xf numFmtId="0" fontId="9" fillId="0" borderId="10" xfId="0" applyFont="1" applyBorder="1" applyAlignment="1">
      <alignment horizontal="center"/>
    </xf>
    <xf numFmtId="0" fontId="5" fillId="0" borderId="0" xfId="0" applyFont="1" applyFill="1" applyBorder="1" applyAlignment="1">
      <alignment horizontal="center"/>
    </xf>
    <xf numFmtId="0" fontId="1" fillId="0" borderId="2" xfId="0" applyFont="1" applyBorder="1" applyAlignment="1">
      <alignment horizontal="center"/>
    </xf>
    <xf numFmtId="0" fontId="1" fillId="0" borderId="9" xfId="0" applyFont="1" applyBorder="1" applyAlignment="1">
      <alignment horizontal="center"/>
    </xf>
    <xf numFmtId="0" fontId="1" fillId="0" borderId="3" xfId="0" applyFont="1" applyBorder="1" applyAlignment="1">
      <alignment horizontal="center"/>
    </xf>
    <xf numFmtId="0" fontId="2" fillId="0" borderId="10" xfId="0" applyFont="1" applyBorder="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xf>
    <xf numFmtId="0" fontId="1" fillId="0" borderId="8" xfId="0" applyFont="1" applyBorder="1" applyAlignment="1">
      <alignment horizontal="center"/>
    </xf>
    <xf numFmtId="0" fontId="1" fillId="2" borderId="1"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8" fillId="0" borderId="20" xfId="0" applyFont="1" applyBorder="1" applyAlignment="1">
      <alignment horizontal="right" vertical="center" textRotation="90"/>
    </xf>
    <xf numFmtId="0" fontId="6" fillId="0" borderId="10" xfId="0"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0" fontId="8" fillId="0" borderId="0" xfId="0" applyFont="1" applyAlignment="1">
      <alignment horizontal="right" vertical="center" textRotation="90"/>
    </xf>
    <xf numFmtId="0" fontId="8" fillId="0" borderId="0" xfId="0" applyFont="1" applyFill="1" applyBorder="1" applyAlignment="1">
      <alignment horizontal="center" vertical="center" textRotation="90"/>
    </xf>
  </cellXfs>
  <cellStyles count="1">
    <cellStyle name="Normal" xfId="0" builtinId="0"/>
  </cellStyles>
  <dxfs count="0"/>
  <tableStyles count="0" defaultTableStyle="TableStyleMedium2" defaultPivotStyle="PivotStyleLight16"/>
  <colors>
    <mruColors>
      <color rgb="FF98C2E2"/>
      <color rgb="FFA8C2E2"/>
      <color rgb="FF81A8D5"/>
      <color rgb="FF006FB7"/>
      <color rgb="FF006FB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371475</xdr:colOff>
      <xdr:row>0</xdr:row>
      <xdr:rowOff>95250</xdr:rowOff>
    </xdr:from>
    <xdr:to>
      <xdr:col>7</xdr:col>
      <xdr:colOff>513397</xdr:colOff>
      <xdr:row>0</xdr:row>
      <xdr:rowOff>805434</xdr:rowOff>
    </xdr:to>
    <xdr:pic>
      <xdr:nvPicPr>
        <xdr:cNvPr id="2" name="Picture 1">
          <a:extLst>
            <a:ext uri="{FF2B5EF4-FFF2-40B4-BE49-F238E27FC236}">
              <a16:creationId xmlns:a16="http://schemas.microsoft.com/office/drawing/2014/main" id="{E539290A-D49C-4CFE-8332-50026202E0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8825" y="95250"/>
          <a:ext cx="2885122" cy="710184"/>
        </a:xfrm>
        <a:prstGeom prst="rect">
          <a:avLst/>
        </a:prstGeom>
        <a:solidFill>
          <a:srgbClr val="81A8D5"/>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647605</xdr:colOff>
      <xdr:row>0</xdr:row>
      <xdr:rowOff>114300</xdr:rowOff>
    </xdr:from>
    <xdr:to>
      <xdr:col>7</xdr:col>
      <xdr:colOff>170402</xdr:colOff>
      <xdr:row>1</xdr:row>
      <xdr:rowOff>62484</xdr:rowOff>
    </xdr:to>
    <xdr:pic>
      <xdr:nvPicPr>
        <xdr:cNvPr id="3" name="Picture 2">
          <a:extLst>
            <a:ext uri="{FF2B5EF4-FFF2-40B4-BE49-F238E27FC236}">
              <a16:creationId xmlns:a16="http://schemas.microsoft.com/office/drawing/2014/main" id="{22293A5D-3E41-4106-80CC-C3DA7351B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605" y="114300"/>
          <a:ext cx="2885122" cy="710184"/>
        </a:xfrm>
        <a:prstGeom prst="rect">
          <a:avLst/>
        </a:prstGeom>
        <a:solidFill>
          <a:srgbClr val="81A8D5"/>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D142B-736A-4A22-944E-DB95A89FC5BD}">
  <dimension ref="B1:J3"/>
  <sheetViews>
    <sheetView showGridLines="0" showRowColHeaders="0" tabSelected="1" workbookViewId="0">
      <selection activeCell="B3" sqref="B3:J3"/>
    </sheetView>
  </sheetViews>
  <sheetFormatPr defaultRowHeight="14.25"/>
  <cols>
    <col min="1" max="1" width="4.28515625" style="1" customWidth="1"/>
    <col min="2" max="10" width="10.28515625" style="1" customWidth="1"/>
    <col min="11" max="11" width="4.28515625" style="1" customWidth="1"/>
    <col min="12" max="16384" width="9.140625" style="1"/>
  </cols>
  <sheetData>
    <row r="1" spans="2:10" ht="65.25" customHeight="1"/>
    <row r="2" spans="2:10" ht="23.25">
      <c r="B2" s="51" t="s">
        <v>47</v>
      </c>
      <c r="C2" s="51"/>
      <c r="D2" s="51"/>
      <c r="E2" s="51"/>
      <c r="F2" s="51"/>
      <c r="G2" s="51"/>
      <c r="H2" s="51"/>
      <c r="I2" s="51"/>
      <c r="J2" s="51"/>
    </row>
    <row r="3" spans="2:10" ht="301.5" customHeight="1">
      <c r="B3" s="48" t="s">
        <v>51</v>
      </c>
      <c r="C3" s="49"/>
      <c r="D3" s="49"/>
      <c r="E3" s="49"/>
      <c r="F3" s="49"/>
      <c r="G3" s="49"/>
      <c r="H3" s="49"/>
      <c r="I3" s="49"/>
      <c r="J3" s="50"/>
    </row>
  </sheetData>
  <sheetProtection algorithmName="SHA-512" hashValue="3ikIgnaege6ipqDLAofx8s1V+3swWYD4wzUCK2NO7ZWw1ATZiEUIfB8nKEjc80Skx32yOBrnrdsJ9GcW5ptfkw==" saltValue="Mt07WkxXRdUpqJwKv0U5oA==" spinCount="100000" sheet="1" objects="1" scenarios="1" selectLockedCells="1"/>
  <mergeCells count="2">
    <mergeCell ref="B3:J3"/>
    <mergeCell ref="B2:J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C1480-C6B6-43F5-9ADE-92605B483AD8}">
  <sheetPr>
    <pageSetUpPr fitToPage="1"/>
  </sheetPr>
  <dimension ref="C1:L36"/>
  <sheetViews>
    <sheetView showGridLines="0" zoomScaleNormal="100" workbookViewId="0">
      <selection activeCell="C11" sqref="C11:D11"/>
    </sheetView>
  </sheetViews>
  <sheetFormatPr defaultRowHeight="14.25"/>
  <cols>
    <col min="1" max="1" width="4.42578125" style="1" customWidth="1"/>
    <col min="2" max="2" width="3.7109375" style="1" customWidth="1"/>
    <col min="3" max="3" width="15.28515625" style="2" customWidth="1"/>
    <col min="4" max="5" width="15.28515625" style="1" customWidth="1"/>
    <col min="6" max="6" width="19.85546875" style="1" customWidth="1"/>
    <col min="7" max="10" width="15.28515625" style="1" customWidth="1"/>
    <col min="11" max="11" width="9.140625" style="1"/>
    <col min="12" max="12" width="13.5703125" style="2" bestFit="1" customWidth="1"/>
    <col min="13" max="13" width="14.42578125" style="1" bestFit="1" customWidth="1"/>
    <col min="14" max="14" width="12.42578125" style="1" bestFit="1" customWidth="1"/>
    <col min="15" max="15" width="12.7109375" style="1" bestFit="1" customWidth="1"/>
    <col min="16" max="16384" width="9.140625" style="1"/>
  </cols>
  <sheetData>
    <row r="1" spans="3:12" ht="60" customHeight="1">
      <c r="L1" s="1"/>
    </row>
    <row r="2" spans="3:12" ht="8.25" customHeight="1">
      <c r="L2" s="1"/>
    </row>
    <row r="3" spans="3:12" ht="23.25">
      <c r="C3" s="56" t="s">
        <v>21</v>
      </c>
      <c r="D3" s="56"/>
      <c r="E3" s="56"/>
      <c r="F3" s="56"/>
      <c r="G3" s="56"/>
      <c r="H3" s="56"/>
      <c r="I3" s="56"/>
      <c r="J3" s="56"/>
      <c r="L3" s="1"/>
    </row>
    <row r="4" spans="3:12" ht="174" customHeight="1">
      <c r="C4" s="48" t="s">
        <v>50</v>
      </c>
      <c r="D4" s="49"/>
      <c r="E4" s="49"/>
      <c r="F4" s="49"/>
      <c r="G4" s="49"/>
      <c r="H4" s="49"/>
      <c r="I4" s="49"/>
      <c r="J4" s="50"/>
      <c r="L4" s="1"/>
    </row>
    <row r="5" spans="3:12" ht="6" customHeight="1">
      <c r="C5" s="3"/>
      <c r="D5" s="3"/>
      <c r="E5" s="3"/>
      <c r="F5" s="3"/>
      <c r="G5" s="3"/>
      <c r="H5" s="3"/>
      <c r="I5" s="3"/>
      <c r="J5" s="3"/>
      <c r="L5" s="1"/>
    </row>
    <row r="6" spans="3:12" ht="16.5" customHeight="1">
      <c r="D6" s="4" t="s">
        <v>31</v>
      </c>
      <c r="E6" s="5" t="s">
        <v>32</v>
      </c>
      <c r="F6" s="6" t="s">
        <v>42</v>
      </c>
      <c r="H6" s="7"/>
      <c r="I6" s="7"/>
      <c r="J6" s="7"/>
      <c r="L6" s="1"/>
    </row>
    <row r="7" spans="3:12">
      <c r="D7" s="45" t="s">
        <v>43</v>
      </c>
      <c r="E7" s="46" t="s">
        <v>33</v>
      </c>
      <c r="F7" s="7"/>
      <c r="H7" s="7"/>
      <c r="I7" s="7"/>
      <c r="J7" s="7"/>
      <c r="L7" s="1"/>
    </row>
    <row r="8" spans="3:12" ht="30" customHeight="1">
      <c r="C8" s="51" t="s">
        <v>46</v>
      </c>
      <c r="D8" s="51"/>
      <c r="E8" s="51"/>
      <c r="F8" s="51"/>
      <c r="G8" s="51"/>
      <c r="H8" s="51"/>
      <c r="I8" s="51"/>
      <c r="J8" s="51"/>
      <c r="L8" s="1"/>
    </row>
    <row r="9" spans="3:12" ht="57.75" customHeight="1">
      <c r="C9" s="57" t="s">
        <v>24</v>
      </c>
      <c r="D9" s="58"/>
      <c r="E9" s="57" t="s">
        <v>53</v>
      </c>
      <c r="F9" s="58"/>
      <c r="G9" s="57" t="s">
        <v>20</v>
      </c>
      <c r="H9" s="58"/>
      <c r="I9" s="57" t="s">
        <v>36</v>
      </c>
      <c r="J9" s="58"/>
      <c r="K9" s="8"/>
      <c r="L9" s="1"/>
    </row>
    <row r="10" spans="3:12">
      <c r="C10" s="59" t="s">
        <v>4</v>
      </c>
      <c r="D10" s="60"/>
      <c r="E10" s="59" t="s">
        <v>5</v>
      </c>
      <c r="F10" s="60"/>
      <c r="G10" s="59" t="s">
        <v>44</v>
      </c>
      <c r="H10" s="60"/>
      <c r="I10" s="9" t="s">
        <v>29</v>
      </c>
      <c r="J10" s="10" t="s">
        <v>30</v>
      </c>
      <c r="L10" s="1"/>
    </row>
    <row r="11" spans="3:12">
      <c r="C11" s="61">
        <v>25</v>
      </c>
      <c r="D11" s="61"/>
      <c r="E11" s="62">
        <v>50</v>
      </c>
      <c r="F11" s="62"/>
      <c r="G11" s="61">
        <v>8.5</v>
      </c>
      <c r="H11" s="61"/>
      <c r="I11" s="11">
        <v>12</v>
      </c>
      <c r="J11" s="11">
        <v>0</v>
      </c>
      <c r="L11" s="1"/>
    </row>
    <row r="12" spans="3:12" ht="11.25" customHeight="1">
      <c r="C12" s="12"/>
      <c r="D12" s="12"/>
      <c r="E12" s="12"/>
      <c r="F12" s="12"/>
      <c r="G12" s="12"/>
      <c r="H12" s="12"/>
      <c r="I12" s="12"/>
      <c r="J12" s="12"/>
      <c r="L12" s="1"/>
    </row>
    <row r="13" spans="3:12" ht="15.75">
      <c r="C13" s="52" t="s">
        <v>26</v>
      </c>
      <c r="D13" s="52"/>
      <c r="E13" s="52"/>
      <c r="F13" s="52"/>
      <c r="G13" s="52"/>
      <c r="H13" s="52"/>
      <c r="I13" s="52"/>
      <c r="J13" s="52"/>
      <c r="L13" s="1"/>
    </row>
    <row r="14" spans="3:12" ht="3" customHeight="1">
      <c r="C14" s="13"/>
      <c r="D14" s="13"/>
      <c r="E14" s="13"/>
      <c r="F14" s="13"/>
      <c r="G14" s="13"/>
      <c r="H14" s="13"/>
      <c r="I14" s="13"/>
      <c r="J14" s="13"/>
      <c r="L14" s="1"/>
    </row>
    <row r="15" spans="3:12">
      <c r="D15" s="53" t="s">
        <v>45</v>
      </c>
      <c r="E15" s="54"/>
      <c r="F15" s="54"/>
      <c r="G15" s="54"/>
      <c r="H15" s="54"/>
      <c r="I15" s="55"/>
      <c r="L15" s="1"/>
    </row>
    <row r="16" spans="3:12">
      <c r="D16" s="14" t="s">
        <v>37</v>
      </c>
      <c r="E16" s="15" t="s">
        <v>3</v>
      </c>
      <c r="F16" s="15" t="s">
        <v>0</v>
      </c>
      <c r="G16" s="15" t="s">
        <v>1</v>
      </c>
      <c r="H16" s="15" t="s">
        <v>2</v>
      </c>
      <c r="I16" s="16" t="s">
        <v>15</v>
      </c>
      <c r="L16" s="1"/>
    </row>
    <row r="17" spans="4:12">
      <c r="D17" s="14" t="s">
        <v>39</v>
      </c>
      <c r="E17" s="11" t="s">
        <v>8</v>
      </c>
      <c r="F17" s="11">
        <v>0.4</v>
      </c>
      <c r="G17" s="11">
        <v>0.1</v>
      </c>
      <c r="H17" s="11">
        <v>0.06</v>
      </c>
      <c r="I17" s="11">
        <v>0</v>
      </c>
      <c r="L17" s="1"/>
    </row>
    <row r="18" spans="4:12">
      <c r="D18" s="14" t="s">
        <v>38</v>
      </c>
      <c r="E18" s="11">
        <v>2.2000000000000002</v>
      </c>
      <c r="F18" s="11">
        <v>0.6</v>
      </c>
      <c r="G18" s="11">
        <v>0.3</v>
      </c>
      <c r="H18" s="11">
        <v>0.1</v>
      </c>
      <c r="I18" s="11">
        <v>0</v>
      </c>
      <c r="L18" s="1"/>
    </row>
    <row r="19" spans="4:12">
      <c r="D19" s="14" t="s">
        <v>35</v>
      </c>
      <c r="E19" s="11" t="s">
        <v>8</v>
      </c>
      <c r="F19" s="11">
        <v>1.2</v>
      </c>
      <c r="G19" s="11">
        <v>0.3</v>
      </c>
      <c r="H19" s="11">
        <v>0.12</v>
      </c>
      <c r="I19" s="11">
        <v>0</v>
      </c>
      <c r="L19" s="1"/>
    </row>
    <row r="20" spans="4:12" ht="15" customHeight="1">
      <c r="L20" s="1"/>
    </row>
    <row r="21" spans="4:12" ht="15.75">
      <c r="E21" s="64" t="str">
        <f>"Total Length of System = "&amp;Length_of_System&amp;" Feet + Choker Length"</f>
        <v>Total Length of System = 50 Feet + Choker Length</v>
      </c>
      <c r="F21" s="64"/>
      <c r="G21" s="64"/>
      <c r="H21" s="64"/>
      <c r="L21" s="1"/>
    </row>
    <row r="22" spans="4:12" s="17" customFormat="1" ht="31.5" customHeight="1" thickBot="1">
      <c r="D22" s="20"/>
      <c r="E22" s="18" t="s">
        <v>17</v>
      </c>
      <c r="F22" s="18" t="s">
        <v>22</v>
      </c>
      <c r="G22" s="18" t="s">
        <v>28</v>
      </c>
      <c r="H22" s="18" t="s">
        <v>48</v>
      </c>
    </row>
    <row r="23" spans="4:12" s="29" customFormat="1" ht="20.25" customHeight="1">
      <c r="D23" s="63" t="s">
        <v>9</v>
      </c>
      <c r="E23" s="30" t="str">
        <f>Calculations!B7</f>
        <v>1/4"</v>
      </c>
      <c r="F23" s="21" t="str">
        <f>Calculations!I7</f>
        <v>N/A</v>
      </c>
      <c r="G23" s="33" t="str">
        <f>Calculations!J7</f>
        <v>N/A</v>
      </c>
      <c r="H23" s="22" t="str">
        <f>Calculations!K7</f>
        <v>N/A</v>
      </c>
    </row>
    <row r="24" spans="4:12" s="29" customFormat="1" ht="20.25" customHeight="1">
      <c r="D24" s="63"/>
      <c r="E24" s="31" t="str">
        <f>Calculations!B8</f>
        <v>5/16"</v>
      </c>
      <c r="F24" s="23" t="str">
        <f>Calculations!I8</f>
        <v>2' 6''</v>
      </c>
      <c r="G24" s="34">
        <f>Calculations!J8</f>
        <v>25.95</v>
      </c>
      <c r="H24" s="24">
        <f>Calculations!K8</f>
        <v>25</v>
      </c>
    </row>
    <row r="25" spans="4:12" s="29" customFormat="1" ht="20.25" customHeight="1">
      <c r="D25" s="63"/>
      <c r="E25" s="31" t="str">
        <f>Calculations!B9</f>
        <v>3/8"</v>
      </c>
      <c r="F25" s="23" t="str">
        <f>Calculations!I9</f>
        <v>3' 5''</v>
      </c>
      <c r="G25" s="34">
        <f>Calculations!J9</f>
        <v>37.115000000000002</v>
      </c>
      <c r="H25" s="43">
        <f>Calculations!K9</f>
        <v>25</v>
      </c>
    </row>
    <row r="26" spans="4:12" s="29" customFormat="1" ht="20.25" customHeight="1" thickBot="1">
      <c r="D26" s="63"/>
      <c r="E26" s="32" t="str">
        <f>Calculations!B10</f>
        <v>1/2"</v>
      </c>
      <c r="F26" s="25" t="str">
        <f>Calculations!I10</f>
        <v>4' 9''</v>
      </c>
      <c r="G26" s="35">
        <f>Calculations!J10</f>
        <v>65.855000000000004</v>
      </c>
      <c r="H26" s="26">
        <f>Calculations!K10</f>
        <v>25</v>
      </c>
    </row>
    <row r="27" spans="4:12" s="29" customFormat="1" ht="20.25" customHeight="1">
      <c r="D27" s="63" t="s">
        <v>19</v>
      </c>
      <c r="E27" s="30" t="str">
        <f>Calculations!B11</f>
        <v>1/4"</v>
      </c>
      <c r="F27" s="21" t="str">
        <f>Calculations!I11</f>
        <v>N/A</v>
      </c>
      <c r="G27" s="33" t="str">
        <f>Calculations!J11</f>
        <v>N/A</v>
      </c>
      <c r="H27" s="22" t="str">
        <f>Calculations!K11</f>
        <v>N/A</v>
      </c>
    </row>
    <row r="28" spans="4:12" s="29" customFormat="1" ht="20.25" customHeight="1">
      <c r="D28" s="63"/>
      <c r="E28" s="31" t="str">
        <f>Calculations!B12</f>
        <v>5/16"</v>
      </c>
      <c r="F28" s="23" t="str">
        <f>Calculations!I12</f>
        <v>N/A</v>
      </c>
      <c r="G28" s="34" t="str">
        <f>Calculations!J12</f>
        <v>N/A</v>
      </c>
      <c r="H28" s="24" t="str">
        <f>Calculations!K12</f>
        <v>N/A</v>
      </c>
    </row>
    <row r="29" spans="4:12" s="29" customFormat="1" ht="20.25" customHeight="1">
      <c r="D29" s="63"/>
      <c r="E29" s="31" t="str">
        <f>Calculations!B13</f>
        <v>3/8"</v>
      </c>
      <c r="F29" s="23" t="str">
        <f>Calculations!I13</f>
        <v>2' 6''</v>
      </c>
      <c r="G29" s="34">
        <f>Calculations!J13</f>
        <v>36.950000000000003</v>
      </c>
      <c r="H29" s="24">
        <f>Calculations!K13</f>
        <v>25</v>
      </c>
    </row>
    <row r="30" spans="4:12" s="29" customFormat="1" ht="20.25" customHeight="1" thickBot="1">
      <c r="D30" s="63"/>
      <c r="E30" s="32" t="str">
        <f>Calculations!B14</f>
        <v>1/2"</v>
      </c>
      <c r="F30" s="25" t="str">
        <f>Calculations!I14</f>
        <v>4' 9''</v>
      </c>
      <c r="G30" s="35">
        <f>Calculations!J14</f>
        <v>65.855000000000004</v>
      </c>
      <c r="H30" s="26">
        <f>Calculations!K14</f>
        <v>25</v>
      </c>
    </row>
    <row r="31" spans="4:12" s="29" customFormat="1" ht="20.25" customHeight="1">
      <c r="D31" s="63" t="s">
        <v>40</v>
      </c>
      <c r="E31" s="30" t="str">
        <f>Calculations!B15</f>
        <v>1/4"</v>
      </c>
      <c r="F31" s="21" t="str">
        <f>Calculations!I15</f>
        <v>N/A</v>
      </c>
      <c r="G31" s="33" t="str">
        <f>Calculations!J15</f>
        <v>N/A</v>
      </c>
      <c r="H31" s="22" t="str">
        <f>Calculations!K15</f>
        <v>N/A</v>
      </c>
    </row>
    <row r="32" spans="4:12" s="29" customFormat="1" ht="20.25" customHeight="1">
      <c r="D32" s="63"/>
      <c r="E32" s="31" t="str">
        <f>Calculations!B16</f>
        <v>5/16"</v>
      </c>
      <c r="F32" s="23" t="str">
        <f>Calculations!I16</f>
        <v>N/A</v>
      </c>
      <c r="G32" s="34" t="str">
        <f>Calculations!J16</f>
        <v>N/A</v>
      </c>
      <c r="H32" s="24" t="str">
        <f>Calculations!K16</f>
        <v>N/A</v>
      </c>
    </row>
    <row r="33" spans="4:12" s="29" customFormat="1" ht="20.25" customHeight="1">
      <c r="D33" s="63"/>
      <c r="E33" s="31" t="str">
        <f>Calculations!B17</f>
        <v>3/8"</v>
      </c>
      <c r="F33" s="23" t="str">
        <f>Calculations!I17</f>
        <v>2' 1''</v>
      </c>
      <c r="G33" s="34">
        <f>Calculations!J17</f>
        <v>25.875</v>
      </c>
      <c r="H33" s="24">
        <f>Calculations!K17</f>
        <v>25.1</v>
      </c>
    </row>
    <row r="34" spans="4:12" s="29" customFormat="1" ht="20.25" customHeight="1" thickBot="1">
      <c r="D34" s="63"/>
      <c r="E34" s="32" t="str">
        <f>Calculations!B18</f>
        <v>1/2"</v>
      </c>
      <c r="F34" s="25" t="str">
        <f>Calculations!I18</f>
        <v>4' 9''</v>
      </c>
      <c r="G34" s="35">
        <f>Calculations!J18</f>
        <v>37.354999999999997</v>
      </c>
      <c r="H34" s="26">
        <f>Calculations!K18</f>
        <v>25</v>
      </c>
    </row>
    <row r="35" spans="4:12" ht="3" customHeight="1">
      <c r="L35" s="1"/>
    </row>
    <row r="36" spans="4:12">
      <c r="D36" s="65" t="s">
        <v>41</v>
      </c>
      <c r="E36" s="65"/>
      <c r="F36" s="65"/>
      <c r="G36" s="65"/>
      <c r="H36" s="65"/>
      <c r="I36" s="44"/>
      <c r="J36" s="44"/>
      <c r="L36" s="1"/>
    </row>
  </sheetData>
  <sheetProtection algorithmName="SHA-512" hashValue="uejNQ61Px5NVsNHYJ3GSvxlHjZwPg245xivEd330pAng2jo1Kb2ww3yt2Gw+5nQrmbN4xS5bDBKweMtKq+uKAg==" saltValue="v6BP91joii7WYzjwKjPeWg==" spinCount="100000" sheet="1" selectLockedCells="1"/>
  <protectedRanges>
    <protectedRange sqref="E17:I19" name="Line Restriction Values"/>
    <protectedRange sqref="C11:J11" name="System Values"/>
  </protectedRanges>
  <mergeCells count="20">
    <mergeCell ref="D23:D26"/>
    <mergeCell ref="D27:D30"/>
    <mergeCell ref="D31:D34"/>
    <mergeCell ref="E21:H21"/>
    <mergeCell ref="D36:H36"/>
    <mergeCell ref="C13:J13"/>
    <mergeCell ref="D15:I15"/>
    <mergeCell ref="C3:J3"/>
    <mergeCell ref="C4:J4"/>
    <mergeCell ref="I9:J9"/>
    <mergeCell ref="G10:H10"/>
    <mergeCell ref="G11:H11"/>
    <mergeCell ref="C9:D9"/>
    <mergeCell ref="C10:D10"/>
    <mergeCell ref="C11:D11"/>
    <mergeCell ref="E9:F9"/>
    <mergeCell ref="G9:H9"/>
    <mergeCell ref="E10:F10"/>
    <mergeCell ref="E11:F11"/>
    <mergeCell ref="C8:J8"/>
  </mergeCells>
  <pageMargins left="0.7" right="0.7" top="0.75" bottom="0.75" header="0.3" footer="0.3"/>
  <pageSetup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F339F-49C2-4E11-B383-CD0AE62D764C}">
  <dimension ref="A1:O35"/>
  <sheetViews>
    <sheetView workbookViewId="0">
      <selection activeCell="J27" sqref="J27"/>
    </sheetView>
  </sheetViews>
  <sheetFormatPr defaultRowHeight="14.25"/>
  <cols>
    <col min="1" max="1" width="6.42578125" style="1" customWidth="1"/>
    <col min="2" max="2" width="19.42578125" style="1" bestFit="1" customWidth="1"/>
    <col min="3" max="3" width="14.42578125" style="1" bestFit="1" customWidth="1"/>
    <col min="4" max="4" width="12.42578125" style="1" bestFit="1" customWidth="1"/>
    <col min="5" max="5" width="12.7109375" style="1" bestFit="1" customWidth="1"/>
    <col min="6" max="6" width="21" style="1" bestFit="1" customWidth="1"/>
    <col min="7" max="7" width="28.7109375" style="1" bestFit="1" customWidth="1"/>
    <col min="8" max="8" width="28.7109375" style="41" customWidth="1"/>
    <col min="9" max="9" width="28.7109375" style="36" customWidth="1"/>
    <col min="10" max="11" width="28.7109375" style="28" customWidth="1"/>
    <col min="12" max="12" width="5" style="1" bestFit="1" customWidth="1"/>
    <col min="13" max="13" width="9.42578125" style="1" customWidth="1"/>
    <col min="14" max="14" width="5.42578125" style="1" customWidth="1"/>
    <col min="15" max="15" width="7.42578125" style="28" customWidth="1"/>
    <col min="16" max="16384" width="9.140625" style="1"/>
  </cols>
  <sheetData>
    <row r="1" spans="1:15">
      <c r="C1" s="27"/>
      <c r="M1" s="66" t="s">
        <v>14</v>
      </c>
      <c r="N1" s="66"/>
      <c r="O1" s="27"/>
    </row>
    <row r="2" spans="1:15">
      <c r="B2" s="2"/>
      <c r="M2" s="28" t="s">
        <v>3</v>
      </c>
      <c r="N2" s="28">
        <v>0.18</v>
      </c>
    </row>
    <row r="3" spans="1:15">
      <c r="B3" s="27" t="s">
        <v>11</v>
      </c>
      <c r="C3" s="2">
        <f>LRV_3_16</f>
        <v>2.2000000000000002</v>
      </c>
      <c r="D3" s="1" t="s">
        <v>12</v>
      </c>
      <c r="M3" s="28" t="s">
        <v>0</v>
      </c>
      <c r="N3" s="28">
        <v>0.33</v>
      </c>
    </row>
    <row r="4" spans="1:15">
      <c r="B4" s="2"/>
      <c r="M4" s="28" t="s">
        <v>1</v>
      </c>
      <c r="N4" s="28">
        <v>0.51</v>
      </c>
    </row>
    <row r="5" spans="1:15">
      <c r="B5" s="2"/>
      <c r="M5" s="28" t="s">
        <v>2</v>
      </c>
      <c r="N5" s="28">
        <v>0.73</v>
      </c>
    </row>
    <row r="6" spans="1:15">
      <c r="B6" s="28" t="s">
        <v>6</v>
      </c>
      <c r="C6" s="1" t="s">
        <v>10</v>
      </c>
      <c r="D6" s="2" t="s">
        <v>7</v>
      </c>
      <c r="E6" s="1" t="s">
        <v>18</v>
      </c>
      <c r="F6" s="1" t="s">
        <v>16</v>
      </c>
      <c r="G6" s="1" t="s">
        <v>23</v>
      </c>
      <c r="H6" s="41" t="s">
        <v>49</v>
      </c>
      <c r="J6" s="28" t="s">
        <v>25</v>
      </c>
      <c r="K6" s="28" t="s">
        <v>16</v>
      </c>
      <c r="M6" s="28" t="s">
        <v>15</v>
      </c>
      <c r="N6" s="28">
        <v>1.3</v>
      </c>
    </row>
    <row r="7" spans="1:15">
      <c r="A7" s="67" t="s">
        <v>9</v>
      </c>
      <c r="B7" s="2" t="s">
        <v>0</v>
      </c>
      <c r="C7" s="17" t="str">
        <f>IF((Dispense_PSI-Hardware_Restriction-(((-1)*ABS(Drop)+Lift)*0.5)-LRV_3_16*Length_of_System)/(LRB_1_4-LRV_3_16)&gt;=Length_of_System,"N/A",MROUND((Dispense_PSI-Hardware_Restriction-(((-1)*ABS(Drop)+Lift)*0.5)-LRV_3_16*Length_of_System)/(LRB_1_4-LRV_3_16), 0.5))</f>
        <v>N/A</v>
      </c>
      <c r="D7" s="17" t="str">
        <f t="shared" ref="D7:D18" si="0">IF(C7="N/A", "N/A", Length_of_System-C7)</f>
        <v>N/A</v>
      </c>
      <c r="E7" s="17" t="str">
        <f>IF(D7="N/A", "N/A", C7*N3+D7*$N$2)</f>
        <v>N/A</v>
      </c>
      <c r="F7" s="17" t="str">
        <f>IF(E7="N/A","N/A", C7*LRB_1_4+D7*LRV_3_16)</f>
        <v>N/A</v>
      </c>
      <c r="G7" s="17" t="str">
        <f>IF(((Dispense_PSI-Hardware_Restriction-(((-1)*ABS(Drop)+Lift)*0.5))-Length_of_System*LRB_1_4)/$C$3&lt;=0,"N/A",MROUND(((Dispense_PSI-Hardware_Restriction-(((-1)*ABS(Drop)+Lift)*0.5))-Length_of_System*LRB_1_4)/$C$3,1/12))</f>
        <v>N/A</v>
      </c>
      <c r="H7" s="37" t="str">
        <f>IF(G7="N/A", "N/A", G7*12)</f>
        <v>N/A</v>
      </c>
      <c r="I7" s="37" t="str">
        <f>IF(G7="N/A","N/A",INT(H7/12)&amp;"' "&amp;MROUND(MOD(G7,1)*12,1)&amp;"''")</f>
        <v>N/A</v>
      </c>
      <c r="J7" s="17" t="str">
        <f>IF(G7="N/A", "N/A", Length_of_System*N3+G7*$N$2)</f>
        <v>N/A</v>
      </c>
      <c r="K7" s="17" t="str">
        <f>IF(G7="N/A","N/A",MROUND(Length_of_System*LRB_1_4+G7*LRV_3_16+Hardware_Restriction+(((-1)*ABS(Drop)+Lift)*0.5),0.1))</f>
        <v>N/A</v>
      </c>
    </row>
    <row r="8" spans="1:15">
      <c r="A8" s="67"/>
      <c r="B8" s="2" t="s">
        <v>1</v>
      </c>
      <c r="C8" s="17">
        <f>IF((Dispense_PSI-Hardware_Restriction-(((-1)*ABS(Drop)+Lift)*0.5)-LRV_3_16*Length_of_System)/(LRB_5_16-LRV_3_16)&gt;=Length_of_System,"N/A",MROUND((Dispense_PSI-Hardware_Restriction-(((-1)*ABS(Drop)+Lift)*0.5)-LRV_3_16*Length_of_System)/(LRB_5_16-LRV_3_16), 0.5))</f>
        <v>47.5</v>
      </c>
      <c r="D8" s="17">
        <f t="shared" si="0"/>
        <v>2.5</v>
      </c>
      <c r="E8" s="17">
        <f>IF(D8="N/A", "N/A", C8*N4+D8*$N$2)</f>
        <v>24.675000000000001</v>
      </c>
      <c r="F8" s="17">
        <f>IF(E8="N/A","N/A", C8*LRB_5_16+D8*LRV_3_16)</f>
        <v>10.25</v>
      </c>
      <c r="G8" s="17">
        <f>IF(((Dispense_PSI-Hardware_Restriction-(((-1)*ABS(Drop)+Lift)*0.5))-Length_of_System*LRB_5_16)/$C$3&lt;=0,"N/A",MROUND(((Dispense_PSI-Hardware_Restriction-(((-1)*ABS(Drop)+Lift)*0.5))-Length_of_System*LRB_5_16)/$C$3,1/12))</f>
        <v>2.5</v>
      </c>
      <c r="H8" s="37">
        <f t="shared" ref="H8:H18" si="1">IF(G8="N/A", "N/A", G8*12)</f>
        <v>30</v>
      </c>
      <c r="I8" s="37" t="str">
        <f t="shared" ref="I8:I18" si="2">IF(G8="N/A","N/A",INT(H8/12)&amp;"' "&amp;MROUND(MOD(G8,1)*12,1)&amp;"''")</f>
        <v>2' 6''</v>
      </c>
      <c r="J8" s="17">
        <f>IF(G8="N/A", "N/A", Length_of_System*N4+G8*$N$2)</f>
        <v>25.95</v>
      </c>
      <c r="K8" s="42">
        <f>IF(G8="N/A","N/A", MROUND((Length_of_System*LRB_5_16+G8*LRV_3_16+(((-1)*ABS(Drop)+Lift)*0.5)+Hardware_Restriction),0.1))</f>
        <v>25</v>
      </c>
    </row>
    <row r="9" spans="1:15">
      <c r="A9" s="67"/>
      <c r="B9" s="2" t="s">
        <v>2</v>
      </c>
      <c r="C9" s="17">
        <f>IF((Dispense_PSI-Hardware_Restriction-(((-1)*ABS(Drop)+Lift)*0.5)-LRV_3_16*Length_of_System)/(LRB_3_8-LRV_3_16)&gt;=Length_of_System,"N/A",MROUND((Dispense_PSI-Hardware_Restriction-(((-1)*ABS(Drop)+Lift)*0.5)-LRV_3_16*Length_of_System)/(LRB_3_8-LRV_3_16), 0.5))</f>
        <v>46.5</v>
      </c>
      <c r="D9" s="17">
        <f t="shared" si="0"/>
        <v>3.5</v>
      </c>
      <c r="E9" s="17">
        <f>IF(D9="N/A", "N/A", C9*N5+D9*$N$2)</f>
        <v>34.575000000000003</v>
      </c>
      <c r="F9" s="17">
        <f>IF(E9="N/A","N/A", C9*LRB_3_8+D9*LRV_3_16)</f>
        <v>10.490000000000002</v>
      </c>
      <c r="G9" s="17">
        <f>IF(((Dispense_PSI-Hardware_Restriction-(((-1)*ABS(Drop)+Lift)*0.5))-Length_of_System*LRB_3_8)/$C$3&lt;=0,"N/A",MROUND(((Dispense_PSI-Hardware_Restriction-(((-1)*ABS(Drop)+Lift)*0.5))-Length_of_System*LRB_3_8)/$C$3,1/12))</f>
        <v>3.4166666666666665</v>
      </c>
      <c r="H9" s="37">
        <f t="shared" si="1"/>
        <v>41</v>
      </c>
      <c r="I9" s="37" t="str">
        <f t="shared" si="2"/>
        <v>3' 5''</v>
      </c>
      <c r="J9" s="17">
        <f>IF(G9="N/A", "N/A", Length_of_System*N5+G9*$N$2)</f>
        <v>37.115000000000002</v>
      </c>
      <c r="K9" s="42">
        <f>IF(G9="N/A","N/A", MROUND((Length_of_System*LRB_3_8+G9*LRV_3_16+(((-1)*ABS(Drop)+Lift)*0.5)+Hardware_Restriction),0.1))</f>
        <v>25</v>
      </c>
    </row>
    <row r="10" spans="1:15">
      <c r="A10" s="67"/>
      <c r="B10" s="2" t="s">
        <v>15</v>
      </c>
      <c r="C10" s="17">
        <f>IF((Dispense_PSI-Hardware_Restriction-(((-1)*ABS(Drop)+Lift)*0.5)-LRV_3_16*Length_of_System)/(LRB_1_2-LRV_3_16)&gt;=Length_of_System,"N/A",MROUND((Dispense_PSI-Hardware_Restriction-(((-1)*ABS(Drop)+Lift)*0.5)-LRV_3_16*Length_of_System)/(LRB_1_2-LRV_3_16), 0.5))</f>
        <v>45</v>
      </c>
      <c r="D10" s="17">
        <f t="shared" si="0"/>
        <v>5</v>
      </c>
      <c r="E10" s="17">
        <f>IF(D10="N/A", "N/A", C10*N6+D10*$N$2)</f>
        <v>59.4</v>
      </c>
      <c r="F10" s="17">
        <f>IF(E10="N/A","N/A", C10*LRB_1_2+D10*LRV_3_16)</f>
        <v>11</v>
      </c>
      <c r="G10" s="17">
        <f>IF(((Dispense_PSI-Hardware_Restriction-(((-1)*ABS(Drop)+Lift)*0.5))-Length_of_System*LRB_1_2)/$C$3&lt;=0,"N/A",MROUND(((Dispense_PSI-Hardware_Restriction-(((-1)*ABS(Drop)+Lift)*0.5))-Length_of_System*LRB_1_2)/$C$3,1/12))</f>
        <v>4.75</v>
      </c>
      <c r="H10" s="37">
        <f t="shared" si="1"/>
        <v>57</v>
      </c>
      <c r="I10" s="37" t="str">
        <f t="shared" si="2"/>
        <v>4' 9''</v>
      </c>
      <c r="J10" s="17">
        <f>IF(G10="N/A", "N/A", Length_of_System*N6+G10*$N$2)</f>
        <v>65.855000000000004</v>
      </c>
      <c r="K10" s="42">
        <f>IF(G10="N/A","N/A", MROUND(Length_of_System*LRB_1_2+G10*LRV_3_16+(((-1)*ABS(Drop)+Lift)*0.5)+Hardware_Restriction, 0.1))</f>
        <v>25</v>
      </c>
    </row>
    <row r="11" spans="1:15">
      <c r="A11" s="67" t="s">
        <v>19</v>
      </c>
      <c r="B11" s="2" t="s">
        <v>0</v>
      </c>
      <c r="C11" s="17" t="str">
        <f>IF((Dispense_PSI-Hardware_Restriction-(((-1)*ABS(Drop)+Lift)*0.5)-LRV_3_16*Length_of_System)/(LRV_1_4-LRV_3_16)&gt;=Length_of_System,"N/A",MROUND((Dispense_PSI-Hardware_Restriction-(((-1)*ABS(Drop)+Lift)*0.5)-LRV_3_16*Length_of_System)/(LRV_1_4-LRV_3_16), 0.5))</f>
        <v>N/A</v>
      </c>
      <c r="D11" s="17" t="str">
        <f t="shared" si="0"/>
        <v>N/A</v>
      </c>
      <c r="E11" s="17" t="str">
        <f>IF(D11="N/A", "N/A", C11*N3+D11*$N$2)</f>
        <v>N/A</v>
      </c>
      <c r="F11" s="17" t="str">
        <f>IF(E11="N/A","N/A", C11*LRV_1_4+D11*LRV_3_16)</f>
        <v>N/A</v>
      </c>
      <c r="G11" s="17" t="str">
        <f>IF(((Dispense_PSI-Hardware_Restriction-(((-1)*ABS(Drop)+Lift)*0.5))-Length_of_System*LRV_1_4)/$C$3&lt;=0,"N/A",MROUND(((Dispense_PSI-Hardware_Restriction-(((-1)*ABS(Drop)+Lift)*0.5))-Length_of_System*LRV_1_4)/$C$3,1/12))</f>
        <v>N/A</v>
      </c>
      <c r="H11" s="37" t="str">
        <f t="shared" si="1"/>
        <v>N/A</v>
      </c>
      <c r="I11" s="37" t="str">
        <f t="shared" si="2"/>
        <v>N/A</v>
      </c>
      <c r="J11" s="17" t="str">
        <f>IF(G11="N/A", "N/A", Length_of_System*N3+G11*$N$2)</f>
        <v>N/A</v>
      </c>
      <c r="K11" s="42" t="str">
        <f>IF(G11="N/A","N/A", MROUND(Length_of_System*LRV_1_4+G11*LRV_3_16+(((-1)*ABS(Drop)+Lift)*0.5)+Hardware_Restriction, 0.1))</f>
        <v>N/A</v>
      </c>
    </row>
    <row r="12" spans="1:15">
      <c r="A12" s="67"/>
      <c r="B12" s="2" t="s">
        <v>1</v>
      </c>
      <c r="C12" s="17" t="str">
        <f>IF((Dispense_PSI-Hardware_Restriction-(((-1)*ABS(Drop)+Lift)*0.5)-LRV_3_16*Length_of_System)/(LRV_5_16-LRV_3_16)&gt;=Length_of_System,"N/A",MROUND((Dispense_PSI-Hardware_Restriction-(((-1)*ABS(Drop)+Lift)*0.5)-LRV_3_16*Length_of_System)/(LRV_5_16-LRV_3_16), 0.5))</f>
        <v>N/A</v>
      </c>
      <c r="D12" s="17" t="str">
        <f t="shared" si="0"/>
        <v>N/A</v>
      </c>
      <c r="E12" s="17" t="str">
        <f>IF(D12="N/A", "N/A", C12*N4+D12*$N$2)</f>
        <v>N/A</v>
      </c>
      <c r="F12" s="17" t="str">
        <f>IF(E12="N/A","N/A", C12*LRV_5_16+D12*LRV_3_16)</f>
        <v>N/A</v>
      </c>
      <c r="G12" s="17" t="str">
        <f>IF(((Dispense_PSI-Hardware_Restriction-(((-1)*ABS(Drop)+Lift)*0.5))-Length_of_System*LRV_5_16)/$C$3&lt;=0,"N/A",MROUND(((Dispense_PSI-Hardware_Restriction-(((-1)*ABS(Drop)+Lift)*0.5))-Length_of_System*LRV_5_16)/$C$3,1/12))</f>
        <v>N/A</v>
      </c>
      <c r="H12" s="37" t="str">
        <f t="shared" si="1"/>
        <v>N/A</v>
      </c>
      <c r="I12" s="37" t="str">
        <f t="shared" si="2"/>
        <v>N/A</v>
      </c>
      <c r="J12" s="17" t="str">
        <f>IF(G12="N/A", "N/A", Length_of_System*N4+G12*$N$2)</f>
        <v>N/A</v>
      </c>
      <c r="K12" s="42" t="str">
        <f>IF(G12="N/A","N/A", MROUND(Length_of_System*LRV_5_16+G12*LRV_3_16+(((-1)*ABS(Drop)+Lift)*0.5)+Hardware_Restriction, 0.1))</f>
        <v>N/A</v>
      </c>
    </row>
    <row r="13" spans="1:15">
      <c r="A13" s="67"/>
      <c r="B13" s="2" t="s">
        <v>2</v>
      </c>
      <c r="C13" s="17">
        <f>IF((Dispense_PSI-Hardware_Restriction-(((-1)*ABS(Drop)+Lift)*0.5)-LRV_3_16*Length_of_System)/(LRV_3_8-LRV_3_16)&gt;=Length_of_System,"N/A",MROUND((Dispense_PSI-Hardware_Restriction-(((-1)*ABS(Drop)+Lift)*0.5)-LRV_3_16*Length_of_System)/(LRV_3_8-LRV_3_16), 0.5))</f>
        <v>47.5</v>
      </c>
      <c r="D13" s="17">
        <f t="shared" si="0"/>
        <v>2.5</v>
      </c>
      <c r="E13" s="17">
        <f>IF(D13="N/A", "N/A", C13*N5+D13*$N$2)</f>
        <v>35.125</v>
      </c>
      <c r="F13" s="17">
        <f>IF(E13="N/A","N/A", C13*LRV_3_8+D13*LRV_3_16)</f>
        <v>10.25</v>
      </c>
      <c r="G13" s="17">
        <f>IF(((Dispense_PSI-Hardware_Restriction-(((-1)*ABS(Drop)+Lift)*0.5))-Length_of_System*LRV_3_8)/$C$3&lt;=0,"N/A",MROUND(((Dispense_PSI-Hardware_Restriction-(((-1)*ABS(Drop)+Lift)*0.5))-Length_of_System*LRV_3_8)/$C$3,1/12))</f>
        <v>2.5</v>
      </c>
      <c r="H13" s="37">
        <f t="shared" si="1"/>
        <v>30</v>
      </c>
      <c r="I13" s="37" t="str">
        <f t="shared" si="2"/>
        <v>2' 6''</v>
      </c>
      <c r="J13" s="17">
        <f>IF(G13="N/A", "N/A", Length_of_System*N5+G13*$N$2)</f>
        <v>36.950000000000003</v>
      </c>
      <c r="K13" s="42">
        <f>IF(G13="N/A","N/A", MROUND(Length_of_System*LRV_3_8+G13*LRV_3_16+(((-1)*ABS(Drop)+Lift)*0.5)+Hardware_Restriction, 0.1))</f>
        <v>25</v>
      </c>
    </row>
    <row r="14" spans="1:15">
      <c r="A14" s="67"/>
      <c r="B14" s="2" t="s">
        <v>15</v>
      </c>
      <c r="C14" s="17">
        <f>IF((Dispense_PSI-Hardware_Restriction-(((-1)*ABS(Drop)+Lift)*0.5)-LRV_3_16*Length_of_System)/(LRV_1_2-LRV_3_16)&gt;=Length_of_System,"N/A",MROUND((Dispense_PSI-Hardware_Restriction-(((-1)*ABS(Drop)+Lift)*0.5)-LRV_3_16*Length_of_System)/(LRV_1_2-LRV_3_16), 0.5))</f>
        <v>45</v>
      </c>
      <c r="D14" s="17">
        <f t="shared" si="0"/>
        <v>5</v>
      </c>
      <c r="E14" s="17">
        <f>IF(D14="N/A", "N/A", C14*N6+D14*$N$2)</f>
        <v>59.4</v>
      </c>
      <c r="F14" s="17">
        <f>IF(E14="N/A","N/A", C14*LRV_1_2+D14*LRV_3_16)</f>
        <v>11</v>
      </c>
      <c r="G14" s="17">
        <f>IF(((Dispense_PSI-Hardware_Restriction-(((-1)*ABS(Drop)+Lift)*0.5))-Length_of_System*LRV_1_2)/$C$3&lt;=0,"N/A",MROUND(((Dispense_PSI-Hardware_Restriction-(((-1)*ABS(Drop)+Lift)*0.5))-Length_of_System*LRV_1_2)/$C$3,1/12))</f>
        <v>4.75</v>
      </c>
      <c r="H14" s="37">
        <f t="shared" si="1"/>
        <v>57</v>
      </c>
      <c r="I14" s="37" t="str">
        <f t="shared" si="2"/>
        <v>4' 9''</v>
      </c>
      <c r="J14" s="17">
        <f>IF(G14="N/A", "N/A", Length_of_System*N6+G14*$N$2)</f>
        <v>65.855000000000004</v>
      </c>
      <c r="K14" s="42">
        <f>IF(G14="N/A","N/A", MROUND(Length_of_System*LRV_1_2+G14*LRV_3_16+(((-1)*ABS(Drop)+Lift)*0.5)+Hardware_Restriction, 0.1))</f>
        <v>25</v>
      </c>
    </row>
    <row r="15" spans="1:15">
      <c r="A15" s="67" t="s">
        <v>34</v>
      </c>
      <c r="B15" s="2" t="s">
        <v>0</v>
      </c>
      <c r="C15" s="17" t="str">
        <f>IF((Dispense_PSI-Hardware_Restriction-(((-1)*ABS(Drop)+Lift)*0.5)-LRV_3_16*Length_of_System)/(LRS_1_4-LRV_3_16)&gt;=Length_of_System,"N/A",MROUND((Dispense_PSI-Hardware_Restriction-(((-1)*ABS(Drop)+Lift)*0.5)-LRV_3_16*Length_of_System)/(LRS_1_4-LRV_3_16), 0.5))</f>
        <v>N/A</v>
      </c>
      <c r="D15" s="17" t="str">
        <f t="shared" si="0"/>
        <v>N/A</v>
      </c>
      <c r="E15" s="17" t="str">
        <f>IF(D15="N/A", "N/A", C15*N2+D15*$N$2)</f>
        <v>N/A</v>
      </c>
      <c r="F15" s="17" t="str">
        <f>IF(E15="N/A","N/A", C15*LRS_1_4+D15*LRV_3_16)</f>
        <v>N/A</v>
      </c>
      <c r="G15" s="17" t="str">
        <f>IF(((Dispense_PSI-Hardware_Restriction-(((-1)*ABS(Drop)+Lift)*0.5))-Length_of_System*LRS_1_4)/$C$3&lt;=0,"N/A",MROUND(((Dispense_PSI-Hardware_Restriction-(((-1)*ABS(Drop)+Lift)*0.5))-Length_of_System*LRS_1_4)/$C$3,1/12))</f>
        <v>N/A</v>
      </c>
      <c r="H15" s="37" t="str">
        <f t="shared" si="1"/>
        <v>N/A</v>
      </c>
      <c r="I15" s="37" t="str">
        <f t="shared" si="2"/>
        <v>N/A</v>
      </c>
      <c r="J15" s="17" t="str">
        <f>IF(G15="N/A", "N/A", Length_of_System*N2+G15*$N$2)</f>
        <v>N/A</v>
      </c>
      <c r="K15" s="42" t="str">
        <f>IF(G15="N/A","N/A", MROUND(Length_of_System*LRS_1_4+G15*LRV_3_16+(((-1)*ABS(Drop)+Lift)*0.5)+Hardware_Restriction,0.1))</f>
        <v>N/A</v>
      </c>
    </row>
    <row r="16" spans="1:15">
      <c r="A16" s="67"/>
      <c r="B16" s="2" t="s">
        <v>1</v>
      </c>
      <c r="C16" s="17" t="str">
        <f>IF((Dispense_PSI-Hardware_Restriction-(((-1)*ABS(Drop)+Lift)*0.5)-LRV_3_16*Length_of_System)/(LRS_5_16-LRV_3_16)&gt;=Length_of_System,"N/A",MROUND((Dispense_PSI-Hardware_Restriction-(((-1)*ABS(Drop)+Lift)*0.5)-LRV_3_16*Length_of_System)/(LRS_5_16-LRV_3_16), 0.5))</f>
        <v>N/A</v>
      </c>
      <c r="D16" s="17" t="str">
        <f t="shared" si="0"/>
        <v>N/A</v>
      </c>
      <c r="E16" s="17" t="str">
        <f>IF(D16="N/A", "N/A", C16*N3+D16*$N$2)</f>
        <v>N/A</v>
      </c>
      <c r="F16" s="17" t="str">
        <f>IF(E16="N/A","N/A", C16*LRS_5_16+D16*LRV_3_16)</f>
        <v>N/A</v>
      </c>
      <c r="G16" s="17" t="str">
        <f>IF(((Dispense_PSI-Hardware_Restriction-(((-1)*ABS(Drop)+Lift)*0.5))-Length_of_System*LRS_5_16)/$C$3&lt;=0,"N/A",MROUND(((Dispense_PSI-Hardware_Restriction-(((-1)*ABS(Drop)+Lift)*0.5))-Length_of_System*LRS_5_16)/$C$3,1/12))</f>
        <v>N/A</v>
      </c>
      <c r="H16" s="37" t="str">
        <f t="shared" si="1"/>
        <v>N/A</v>
      </c>
      <c r="I16" s="37" t="str">
        <f t="shared" si="2"/>
        <v>N/A</v>
      </c>
      <c r="J16" s="17" t="str">
        <f>IF(G16="N/A", "N/A", Length_of_System*N3+G16*$N$2)</f>
        <v>N/A</v>
      </c>
      <c r="K16" s="42" t="str">
        <f>IF(G16="N/A","N/A", MROUND(Length_of_System*LRS_5_16+G16*LRV_3_16+(((-1)*ABS(Drop)+Lift)*0.5)+Hardware_Restriction,0.1))</f>
        <v>N/A</v>
      </c>
    </row>
    <row r="17" spans="1:15">
      <c r="A17" s="67"/>
      <c r="B17" s="2" t="s">
        <v>2</v>
      </c>
      <c r="C17" s="17">
        <f>IF((Dispense_PSI-Hardware_Restriction-(((-1)*ABS(Drop)+Lift)*0.5)-LRV_3_16*Length_of_System)/(LRS_3_8-LRV_3_16)&gt;=Length_of_System,"N/A",MROUND((Dispense_PSI-Hardware_Restriction-(((-1)*ABS(Drop)+Lift)*0.5)-LRV_3_16*Length_of_System)/(LRS_3_8-LRV_3_16), 0.5))</f>
        <v>48</v>
      </c>
      <c r="D17" s="17">
        <f t="shared" si="0"/>
        <v>2</v>
      </c>
      <c r="E17" s="17">
        <f>IF(D17="N/A", "N/A", C17*N4+D17*$N$2)</f>
        <v>24.84</v>
      </c>
      <c r="F17" s="17">
        <f>IF(E17="N/A","N/A", C17*LRV_3_8+D17*LRV_3_16)</f>
        <v>9.2000000000000011</v>
      </c>
      <c r="G17" s="17">
        <f>IF(((Dispense_PSI-Hardware_Restriction-(((-1)*ABS(Drop)+Lift)*0.5))-Length_of_System*LRS_3_8)/$C$3&lt;=0,"N/A",MROUND(((Dispense_PSI-Hardware_Restriction-(((-1)*ABS(Drop)+Lift)*0.5))-Length_of_System*LRS_3_8)/$C$3,1/12))</f>
        <v>2.083333333333333</v>
      </c>
      <c r="H17" s="37">
        <f t="shared" si="1"/>
        <v>24.999999999999996</v>
      </c>
      <c r="I17" s="37" t="str">
        <f t="shared" si="2"/>
        <v>2' 1''</v>
      </c>
      <c r="J17" s="17">
        <f>IF(G17="N/A", "N/A", Length_of_System*N4+G17*$N$2)</f>
        <v>25.875</v>
      </c>
      <c r="K17" s="42">
        <f>IF(G17="N/A","N/A", MROUND(Length_of_System*LRS_3_8+G17*LRV_3_16+(((-1)*ABS(Drop)+Lift)*0.5)+Hardware_Restriction,0.1))</f>
        <v>25.1</v>
      </c>
      <c r="O17" s="1"/>
    </row>
    <row r="18" spans="1:15">
      <c r="A18" s="67"/>
      <c r="B18" s="2" t="s">
        <v>15</v>
      </c>
      <c r="C18" s="17">
        <f>IF((Dispense_PSI-Hardware_Restriction-(((-1)*ABS(Drop)+Lift)*0.5)-LRV_3_16*Length_of_System)/(LRS_1_2-LRV_3_16)&gt;=Length_of_System,"N/A",MROUND((Dispense_PSI-Hardware_Restriction-(((-1)*ABS(Drop)+Lift)*0.5)-LRV_3_16*Length_of_System)/(LRS_1_2-LRV_3_16), 0.5))</f>
        <v>45</v>
      </c>
      <c r="D18" s="17">
        <f t="shared" si="0"/>
        <v>5</v>
      </c>
      <c r="E18" s="17">
        <f>IF(D18="N/A", "N/A", C18*N5+D18*$N$2)</f>
        <v>33.75</v>
      </c>
      <c r="F18" s="17">
        <f>IF(E18="N/A","N/A", C18*LRV_1_2+D18*LRV_3_16)</f>
        <v>11</v>
      </c>
      <c r="G18" s="17">
        <f>IF(((Dispense_PSI-Hardware_Restriction-(((-1)*ABS(Drop)+Lift)*0.5))-Length_of_System*LRS_1_2)/$C$3&lt;=0,"N/A",MROUND(((Dispense_PSI-Hardware_Restriction-(((-1)*ABS(Drop)+Lift)*0.5))-Length_of_System*LRS_1_2)/$C$3,1/12))</f>
        <v>4.75</v>
      </c>
      <c r="H18" s="37">
        <f t="shared" si="1"/>
        <v>57</v>
      </c>
      <c r="I18" s="37" t="str">
        <f t="shared" si="2"/>
        <v>4' 9''</v>
      </c>
      <c r="J18" s="17">
        <f>IF(G18="N/A", "N/A", Length_of_System*N5+G18*$N$2)</f>
        <v>37.354999999999997</v>
      </c>
      <c r="K18" s="42">
        <f>IF(G18="N/A","N/A", MROUND(Length_of_System*LRS_1_2+G18*LRV_3_16+(((-1)*ABS(Drop)+Lift)*0.5)+Hardware_Restriction,0.1))</f>
        <v>25</v>
      </c>
      <c r="O18" s="1"/>
    </row>
    <row r="22" spans="1:15" ht="15.75">
      <c r="D22" s="64" t="str">
        <f>"Total Length of System = "&amp;Length_of_System&amp;" Feet"</f>
        <v>Total Length of System = 50 Feet</v>
      </c>
      <c r="E22" s="64"/>
      <c r="F22" s="64"/>
      <c r="G22" s="64"/>
      <c r="H22" s="38"/>
      <c r="I22" s="38"/>
    </row>
    <row r="23" spans="1:15" ht="29.25" thickBot="1">
      <c r="B23" s="17"/>
      <c r="C23" s="17"/>
      <c r="D23" s="18" t="s">
        <v>17</v>
      </c>
      <c r="E23" s="18" t="s">
        <v>13</v>
      </c>
      <c r="F23" s="19" t="s">
        <v>22</v>
      </c>
      <c r="G23" s="18" t="s">
        <v>27</v>
      </c>
      <c r="H23" s="39"/>
      <c r="I23" s="39"/>
      <c r="J23" s="47">
        <v>20</v>
      </c>
      <c r="K23" s="47" t="s">
        <v>52</v>
      </c>
    </row>
    <row r="24" spans="1:15">
      <c r="B24" s="29"/>
      <c r="C24" s="68" t="s">
        <v>9</v>
      </c>
      <c r="D24" s="30" t="str">
        <f>Calculations!B7</f>
        <v>1/4"</v>
      </c>
      <c r="E24" s="21" t="str">
        <f>Calculations!C7</f>
        <v>N/A</v>
      </c>
      <c r="F24" s="21" t="str">
        <f>Calculations!D7</f>
        <v>N/A</v>
      </c>
      <c r="G24" s="22" t="str">
        <f>Calculations!E7</f>
        <v>N/A</v>
      </c>
      <c r="H24" s="40"/>
      <c r="I24" s="30" t="str">
        <f>Calculations!G7</f>
        <v>N/A</v>
      </c>
    </row>
    <row r="25" spans="1:15">
      <c r="B25" s="29"/>
      <c r="C25" s="68"/>
      <c r="D25" s="31" t="str">
        <f>Calculations!B8</f>
        <v>5/16"</v>
      </c>
      <c r="E25" s="23">
        <f>Calculations!C8</f>
        <v>47.5</v>
      </c>
      <c r="F25" s="23">
        <f>Calculations!D8</f>
        <v>2.5</v>
      </c>
      <c r="G25" s="24">
        <f>Calculations!E8</f>
        <v>24.675000000000001</v>
      </c>
      <c r="H25" s="40"/>
      <c r="I25" s="31">
        <f>Calculations!G8</f>
        <v>2.5</v>
      </c>
    </row>
    <row r="26" spans="1:15">
      <c r="B26" s="29"/>
      <c r="C26" s="68"/>
      <c r="D26" s="31" t="str">
        <f>Calculations!B9</f>
        <v>3/8"</v>
      </c>
      <c r="E26" s="23">
        <f>Calculations!C9</f>
        <v>46.5</v>
      </c>
      <c r="F26" s="23">
        <f>Calculations!D9</f>
        <v>3.5</v>
      </c>
      <c r="G26" s="24">
        <f>Calculations!E9</f>
        <v>34.575000000000003</v>
      </c>
      <c r="H26" s="40"/>
      <c r="I26" s="31">
        <f>Calculations!G9</f>
        <v>3.4166666666666665</v>
      </c>
    </row>
    <row r="27" spans="1:15" ht="15" thickBot="1">
      <c r="B27" s="29"/>
      <c r="C27" s="68"/>
      <c r="D27" s="32" t="str">
        <f>Calculations!B10</f>
        <v>1/2"</v>
      </c>
      <c r="E27" s="25">
        <f>Calculations!C10</f>
        <v>45</v>
      </c>
      <c r="F27" s="25">
        <f>Calculations!D10</f>
        <v>5</v>
      </c>
      <c r="G27" s="26">
        <f>Calculations!E10</f>
        <v>59.4</v>
      </c>
      <c r="H27" s="40"/>
      <c r="I27" s="32">
        <f>Calculations!G10</f>
        <v>4.75</v>
      </c>
    </row>
    <row r="28" spans="1:15">
      <c r="B28" s="29"/>
      <c r="C28" s="68" t="s">
        <v>19</v>
      </c>
      <c r="D28" s="30" t="str">
        <f>Calculations!B11</f>
        <v>1/4"</v>
      </c>
      <c r="E28" s="21" t="str">
        <f>Calculations!C11</f>
        <v>N/A</v>
      </c>
      <c r="F28" s="21" t="str">
        <f>Calculations!D11</f>
        <v>N/A</v>
      </c>
      <c r="G28" s="22" t="str">
        <f>Calculations!E11</f>
        <v>N/A</v>
      </c>
      <c r="H28" s="40"/>
      <c r="I28" s="40"/>
    </row>
    <row r="29" spans="1:15">
      <c r="B29" s="29"/>
      <c r="C29" s="68"/>
      <c r="D29" s="31" t="str">
        <f>Calculations!B12</f>
        <v>5/16"</v>
      </c>
      <c r="E29" s="23" t="str">
        <f>Calculations!C12</f>
        <v>N/A</v>
      </c>
      <c r="F29" s="23" t="str">
        <f>Calculations!D12</f>
        <v>N/A</v>
      </c>
      <c r="G29" s="24" t="str">
        <f>Calculations!E12</f>
        <v>N/A</v>
      </c>
      <c r="H29" s="40"/>
      <c r="I29" s="40"/>
    </row>
    <row r="30" spans="1:15">
      <c r="B30" s="29"/>
      <c r="C30" s="68"/>
      <c r="D30" s="31" t="str">
        <f>Calculations!B13</f>
        <v>3/8"</v>
      </c>
      <c r="E30" s="23">
        <f>Calculations!C13</f>
        <v>47.5</v>
      </c>
      <c r="F30" s="23">
        <f>Calculations!D13</f>
        <v>2.5</v>
      </c>
      <c r="G30" s="24">
        <f>Calculations!E13</f>
        <v>35.125</v>
      </c>
      <c r="H30" s="40"/>
      <c r="I30" s="40"/>
    </row>
    <row r="31" spans="1:15" ht="15" thickBot="1">
      <c r="B31" s="29"/>
      <c r="C31" s="68"/>
      <c r="D31" s="32" t="str">
        <f>Calculations!B14</f>
        <v>1/2"</v>
      </c>
      <c r="E31" s="25">
        <f>Calculations!C14</f>
        <v>45</v>
      </c>
      <c r="F31" s="25">
        <f>Calculations!D14</f>
        <v>5</v>
      </c>
      <c r="G31" s="26">
        <f>Calculations!E14</f>
        <v>59.4</v>
      </c>
      <c r="H31" s="40"/>
      <c r="I31" s="40"/>
    </row>
    <row r="32" spans="1:15">
      <c r="B32" s="29"/>
      <c r="C32" s="68" t="s">
        <v>40</v>
      </c>
      <c r="D32" s="30" t="str">
        <f>Calculations!B15:B15</f>
        <v>1/4"</v>
      </c>
      <c r="E32" s="21" t="str">
        <f>Calculations!C15:C15</f>
        <v>N/A</v>
      </c>
      <c r="F32" s="21" t="str">
        <f>Calculations!D15:D15</f>
        <v>N/A</v>
      </c>
      <c r="G32" s="22" t="str">
        <f>Calculations!E15:E15</f>
        <v>N/A</v>
      </c>
      <c r="H32" s="40"/>
      <c r="I32" s="40"/>
    </row>
    <row r="33" spans="2:9">
      <c r="B33" s="29"/>
      <c r="C33" s="68"/>
      <c r="D33" s="31" t="str">
        <f>Calculations!B16:B16</f>
        <v>5/16"</v>
      </c>
      <c r="E33" s="23" t="str">
        <f>Calculations!C16:C16</f>
        <v>N/A</v>
      </c>
      <c r="F33" s="23" t="str">
        <f>Calculations!D16:D16</f>
        <v>N/A</v>
      </c>
      <c r="G33" s="24" t="str">
        <f>Calculations!E16:E16</f>
        <v>N/A</v>
      </c>
      <c r="H33" s="40"/>
      <c r="I33" s="40"/>
    </row>
    <row r="34" spans="2:9">
      <c r="B34" s="29"/>
      <c r="C34" s="68"/>
      <c r="D34" s="31" t="str">
        <f>Calculations!B17:B17</f>
        <v>3/8"</v>
      </c>
      <c r="E34" s="23">
        <f>Calculations!C17:C17</f>
        <v>48</v>
      </c>
      <c r="F34" s="23">
        <f>Calculations!D17:D17</f>
        <v>2</v>
      </c>
      <c r="G34" s="24">
        <f>Calculations!E17:E17</f>
        <v>24.84</v>
      </c>
      <c r="H34" s="40"/>
      <c r="I34" s="40"/>
    </row>
    <row r="35" spans="2:9" ht="15" thickBot="1">
      <c r="B35" s="29"/>
      <c r="C35" s="68"/>
      <c r="D35" s="32" t="str">
        <f>Calculations!B18:B18</f>
        <v>1/2"</v>
      </c>
      <c r="E35" s="25">
        <f>Calculations!C18:C18</f>
        <v>45</v>
      </c>
      <c r="F35" s="25">
        <f>Calculations!D18:D18</f>
        <v>5</v>
      </c>
      <c r="G35" s="26">
        <f>Calculations!E18:E18</f>
        <v>33.75</v>
      </c>
      <c r="H35" s="40"/>
      <c r="I35" s="40"/>
    </row>
  </sheetData>
  <sheetProtection algorithmName="SHA-512" hashValue="YCopX7ZTdbVl9YX7Ha5UiQOonqhBmapqLueX2uzYgrRsUfWXZmXR8U51lR4QiMokgXJ4yGfoY1IVSJwc8utvYQ==" saltValue="3IMgUDQrviAR/+Lh4LqdBA==" spinCount="100000" sheet="1" objects="1" scenarios="1"/>
  <mergeCells count="8">
    <mergeCell ref="M1:N1"/>
    <mergeCell ref="A7:A10"/>
    <mergeCell ref="A11:A14"/>
    <mergeCell ref="A15:A18"/>
    <mergeCell ref="C32:C35"/>
    <mergeCell ref="C24:C27"/>
    <mergeCell ref="C28:C31"/>
    <mergeCell ref="D22:G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How to use this spreadsheet</vt:lpstr>
      <vt:lpstr>Line Length</vt:lpstr>
      <vt:lpstr>Calculations</vt:lpstr>
      <vt:lpstr>Dispense_PSI</vt:lpstr>
      <vt:lpstr>Drop</vt:lpstr>
      <vt:lpstr>Hardware_Restriction</vt:lpstr>
      <vt:lpstr>Length_of_System</vt:lpstr>
      <vt:lpstr>Lift</vt:lpstr>
      <vt:lpstr>LRB_1_2</vt:lpstr>
      <vt:lpstr>LRB_1_4</vt:lpstr>
      <vt:lpstr>LRB_3_8</vt:lpstr>
      <vt:lpstr>LRB_5_16</vt:lpstr>
      <vt:lpstr>LRS_1_2</vt:lpstr>
      <vt:lpstr>LRS_1_4</vt:lpstr>
      <vt:lpstr>LRS_3_8</vt:lpstr>
      <vt:lpstr>LRS_5_16</vt:lpstr>
      <vt:lpstr>LRV_1_2</vt:lpstr>
      <vt:lpstr>LRV_1_4</vt:lpstr>
      <vt:lpstr>LRV_3_16</vt:lpstr>
      <vt:lpstr>LRV_3_8</vt:lpstr>
      <vt:lpstr>LRV_5_16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Shirley</dc:creator>
  <cp:lastModifiedBy>Emily</cp:lastModifiedBy>
  <cp:lastPrinted>2018-01-08T16:11:31Z</cp:lastPrinted>
  <dcterms:created xsi:type="dcterms:W3CDTF">2017-12-18T17:39:37Z</dcterms:created>
  <dcterms:modified xsi:type="dcterms:W3CDTF">2018-09-21T20:58:28Z</dcterms:modified>
</cp:coreProperties>
</file>