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codeName="ThisWorkbook" defaultThemeVersion="166925"/>
  <mc:AlternateContent xmlns:mc="http://schemas.openxmlformats.org/markup-compatibility/2006">
    <mc:Choice Requires="x15">
      <x15ac:absPath xmlns:x15ac="http://schemas.microsoft.com/office/spreadsheetml/2010/11/ac" url="\\MDSERVER\Engineering\Calculators\"/>
    </mc:Choice>
  </mc:AlternateContent>
  <xr:revisionPtr revIDLastSave="0" documentId="13_ncr:1_{1A079974-39F4-4665-BA87-8964A651D776}" xr6:coauthVersionLast="28" xr6:coauthVersionMax="28" xr10:uidLastSave="{00000000-0000-0000-0000-000000000000}"/>
  <workbookProtection workbookAlgorithmName="SHA-512" workbookHashValue="2UgvT7CmtU7ULuMVdBy8+V4c+7x1yIC0YuKuBjeL1p/RFQ7nbnJ63N6CGsMLmUXDCV2Mr7OfDZyFsLox8Ez13g==" workbookSaltValue="E2TzyP4FUmMa/Jcp/s4wdA==" workbookSpinCount="100000" lockStructure="1"/>
  <bookViews>
    <workbookView xWindow="0" yWindow="0" windowWidth="28800" windowHeight="12210" xr2:uid="{C846EA10-6F6B-4699-B44A-7A8F60340E50}"/>
  </bookViews>
  <sheets>
    <sheet name="How to use this spreadsheet" sheetId="5" r:id="rId1"/>
    <sheet name="Kegs per Cylinder" sheetId="1" r:id="rId2"/>
    <sheet name="Large System Design" sheetId="2" r:id="rId3"/>
    <sheet name="Calculations" sheetId="4" state="hidden" r:id="rId4"/>
  </sheets>
  <definedNames>
    <definedName name="Beer_Flow_Rate">'Large System Design'!$D$9</definedName>
    <definedName name="Blend_LSD">'Large System Design'!$I$13</definedName>
    <definedName name="Blend1">'Kegs per Cylinder'!$C$27</definedName>
    <definedName name="Blend2">'Kegs per Cylinder'!$G$27</definedName>
    <definedName name="Blend3">'Kegs per Cylinder'!$K$27</definedName>
    <definedName name="Boyle_P">Calculations!$K$3</definedName>
    <definedName name="Correction_Factor__overall">'Kegs per Cylinder'!$C$23</definedName>
    <definedName name="Keg_Size_LSD">'Large System Design'!$I$9</definedName>
    <definedName name="Keg_size_Premix">'Kegs per Cylinder'!$K$21</definedName>
    <definedName name="Keg_size1">'Kegs per Cylinder'!$C$29</definedName>
    <definedName name="Keg_size100CO2">'Kegs per Cylinder'!$K$38</definedName>
    <definedName name="Keg_size100N2">'Kegs per Cylinder'!$C$38</definedName>
    <definedName name="Keg_size2">'Kegs per Cylinder'!$G$29</definedName>
    <definedName name="Keg_size3">'Kegs per Cylinder'!$K$29</definedName>
    <definedName name="Kegs_per_month_Premix">'Kegs per Cylinder'!$K$19</definedName>
    <definedName name="Kegs_per_month1">'Kegs per Cylinder'!$C$33</definedName>
    <definedName name="Kegs_per_month100CO2">'Kegs per Cylinder'!$K$42</definedName>
    <definedName name="Kegs_per_month100N2">'Kegs per Cylinder'!$C$42</definedName>
    <definedName name="Kegs_per_month2">'Kegs per Cylinder'!$G$33</definedName>
    <definedName name="Kegs_per_month3">'Kegs per Cylinder'!$K$33</definedName>
    <definedName name="P_ATM">Calculations!$F$2</definedName>
    <definedName name="P_dispense_LSD">'Large System Design'!$I$11</definedName>
    <definedName name="P_dispense1">'Kegs per Cylinder'!$C$31</definedName>
    <definedName name="P_dispense100CO2">'Kegs per Cylinder'!$K$40</definedName>
    <definedName name="P_dispense100N2">'Kegs per Cylinder'!$C$40</definedName>
    <definedName name="P_dispense2">'Kegs per Cylinder'!$G$31</definedName>
    <definedName name="P_dispense3">'Kegs per Cylinder'!$K$31</definedName>
    <definedName name="P_premixed">'Kegs per Cylinder'!$H$21</definedName>
    <definedName name="pints_in_gal">Calculations!$B$6</definedName>
    <definedName name="Units_CO2">'Kegs per Cylinder'!$D$21</definedName>
    <definedName name="Units_N2">'Kegs per Cylinder'!$D$19</definedName>
    <definedName name="V_CO2">'Kegs per Cylinder'!$C$21</definedName>
    <definedName name="V_N2">'Kegs per Cylinder'!$C$19</definedName>
    <definedName name="V_PM">'Kegs per Cylinder'!$H$19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4" l="1"/>
  <c r="Q25" i="4"/>
  <c r="Q26" i="4"/>
  <c r="Q27" i="4"/>
  <c r="Q24" i="4"/>
  <c r="L35" i="4"/>
  <c r="L36" i="4"/>
  <c r="L37" i="4"/>
  <c r="L34" i="4"/>
  <c r="L25" i="4" l="1"/>
  <c r="L26" i="4"/>
  <c r="L27" i="4"/>
  <c r="L28" i="4"/>
  <c r="L29" i="4"/>
  <c r="L24" i="4"/>
  <c r="M25" i="4"/>
  <c r="L22" i="4"/>
  <c r="M29" i="4" l="1"/>
  <c r="M28" i="4"/>
  <c r="M27" i="4"/>
  <c r="M24" i="4"/>
  <c r="M26" i="4"/>
  <c r="F57" i="1"/>
  <c r="F53" i="1"/>
  <c r="G17" i="4" l="1"/>
  <c r="F17" i="4"/>
  <c r="G16" i="4"/>
  <c r="F16" i="4"/>
  <c r="F14" i="4"/>
  <c r="G15" i="4"/>
  <c r="G19" i="4" l="1"/>
  <c r="F18" i="4"/>
  <c r="C15" i="4"/>
  <c r="C31" i="4" l="1"/>
  <c r="B17" i="2" s="1"/>
  <c r="C32" i="4" l="1"/>
  <c r="C34" i="4" s="1"/>
  <c r="C35" i="4" s="1"/>
  <c r="C33" i="4" l="1"/>
  <c r="D17" i="4" l="1"/>
  <c r="K2" i="4" l="1"/>
  <c r="K3" i="4"/>
  <c r="E17" i="4"/>
  <c r="C17" i="4"/>
  <c r="E16" i="4"/>
  <c r="D16" i="4"/>
  <c r="C16" i="4"/>
  <c r="C27" i="4" l="1"/>
  <c r="C28" i="4" s="1"/>
  <c r="E15" i="4"/>
  <c r="E19" i="4" s="1"/>
  <c r="E14" i="4"/>
  <c r="E18" i="4" s="1"/>
  <c r="D15" i="4"/>
  <c r="D19" i="4" s="1"/>
  <c r="D14" i="4"/>
  <c r="D18" i="4" s="1"/>
  <c r="C14" i="4"/>
  <c r="C19" i="4" l="1"/>
  <c r="C25" i="4" s="1"/>
  <c r="C26" i="4" s="1"/>
  <c r="C18" i="4"/>
  <c r="C23" i="4" s="1"/>
  <c r="C24" i="4" s="1"/>
  <c r="H57" i="1"/>
  <c r="H55" i="1"/>
  <c r="H53" i="1"/>
  <c r="F25" i="4"/>
  <c r="F23" i="4"/>
  <c r="H50" i="1"/>
  <c r="H48" i="1"/>
  <c r="H46" i="1"/>
  <c r="F21" i="2" l="1"/>
  <c r="D11" i="2"/>
  <c r="F19" i="2" l="1"/>
  <c r="F25" i="2"/>
  <c r="G50" i="1"/>
  <c r="G57" i="1"/>
  <c r="G48" i="1"/>
  <c r="G55" i="1"/>
  <c r="G46" i="1"/>
  <c r="G53" i="1"/>
  <c r="F23" i="2" l="1"/>
</calcChain>
</file>

<file path=xl/sharedStrings.xml><?xml version="1.0" encoding="utf-8"?>
<sst xmlns="http://schemas.openxmlformats.org/spreadsheetml/2006/main" count="162" uniqueCount="91">
  <si>
    <t>Values to input are highlighted in</t>
  </si>
  <si>
    <t>yellow</t>
  </si>
  <si>
    <t>Just hit the tab button anywhere on this spreadsheet to start inputting your values</t>
  </si>
  <si>
    <t>Results are highlighted in</t>
  </si>
  <si>
    <t>blue</t>
  </si>
  <si>
    <t>cu. ft.</t>
  </si>
  <si>
    <t>Volume of N2 Tank:</t>
  </si>
  <si>
    <t>Volume of CO2 Tank:</t>
  </si>
  <si>
    <t>lbs.</t>
  </si>
  <si>
    <t>psig</t>
  </si>
  <si>
    <t>Premixed Gas volume:</t>
  </si>
  <si>
    <t>Results</t>
  </si>
  <si>
    <t>oz.</t>
  </si>
  <si>
    <t>1 Gal</t>
  </si>
  <si>
    <t>CO2</t>
  </si>
  <si>
    <t>1 ft^3</t>
  </si>
  <si>
    <t>Weight</t>
  </si>
  <si>
    <t>Gas</t>
  </si>
  <si>
    <t>Liquid</t>
  </si>
  <si>
    <t>N2</t>
  </si>
  <si>
    <t>ft^3</t>
  </si>
  <si>
    <t>ATM PSI</t>
  </si>
  <si>
    <t>Boyle's Law pressure (converting to atm)</t>
  </si>
  <si>
    <t>Keg size:</t>
  </si>
  <si>
    <t>gal/keg</t>
  </si>
  <si>
    <t>Kegs:</t>
  </si>
  <si>
    <t>kegs/month</t>
  </si>
  <si>
    <t>Kegs per Cylinder Calculations</t>
  </si>
  <si>
    <t>kegs per N2</t>
  </si>
  <si>
    <t>kegs per CO2</t>
  </si>
  <si>
    <t>kegs per premix</t>
  </si>
  <si>
    <t>gal.</t>
  </si>
  <si>
    <t>monthly usage</t>
  </si>
  <si>
    <t>tanks</t>
  </si>
  <si>
    <t>Gauge Pressure:</t>
  </si>
  <si>
    <t>pints per minute</t>
  </si>
  <si>
    <t>pints to 1 gallon</t>
  </si>
  <si>
    <t>kegs per hour</t>
  </si>
  <si>
    <t>Large System Design</t>
  </si>
  <si>
    <t>Beer Flow Rate:</t>
  </si>
  <si>
    <t>L in 1 pint</t>
  </si>
  <si>
    <t>required Mixed gas flow</t>
  </si>
  <si>
    <t>required flow rate of N2</t>
  </si>
  <si>
    <t>SCFH</t>
  </si>
  <si>
    <t>Standard Liters per Minute</t>
  </si>
  <si>
    <t>slpm to scfh</t>
  </si>
  <si>
    <t>Standard Liters per minute (SLPM)</t>
  </si>
  <si>
    <t>Tap the tab button anywhere on this spreadsheet to start inputting your values</t>
  </si>
  <si>
    <t>Kegs Per Cylinder Calculations</t>
  </si>
  <si>
    <t>Input</t>
  </si>
  <si>
    <t>Blend 1</t>
  </si>
  <si>
    <t>Blend 2</t>
  </si>
  <si>
    <t>Blend 3</t>
  </si>
  <si>
    <t>Blend:</t>
  </si>
  <si>
    <t>CF N2</t>
  </si>
  <si>
    <t>CF CO2</t>
  </si>
  <si>
    <t>(% CO2)</t>
  </si>
  <si>
    <t>keg size gal to cu ft. / 1 keg</t>
  </si>
  <si>
    <t>N2 gas needed in 1 keg (ft3/1 keg) w/correction factor</t>
  </si>
  <si>
    <t>CO2 gas needed in 1 keg (ft3/1 keg) w/correction factor</t>
  </si>
  <si>
    <t>Premixed Pressure:</t>
  </si>
  <si>
    <t>Kegs for Premix:</t>
  </si>
  <si>
    <t>Keg size for Premix:</t>
  </si>
  <si>
    <t>Premixed Values</t>
  </si>
  <si>
    <t>CO2 &amp; N2 Tank Values</t>
  </si>
  <si>
    <t>Premix</t>
  </si>
  <si>
    <r>
      <t xml:space="preserve">Required Flow Rate of </t>
    </r>
    <r>
      <rPr>
        <b/>
        <u val="double"/>
        <sz val="11"/>
        <color theme="1"/>
        <rFont val="Open Sans"/>
        <family val="2"/>
      </rPr>
      <t>Mixed Gas</t>
    </r>
    <r>
      <rPr>
        <sz val="11"/>
        <color theme="1"/>
        <rFont val="Open Sans"/>
        <family val="2"/>
      </rPr>
      <t>:</t>
    </r>
  </si>
  <si>
    <r>
      <t xml:space="preserve">Required Flow Rate of </t>
    </r>
    <r>
      <rPr>
        <b/>
        <u val="double"/>
        <sz val="11"/>
        <color theme="1"/>
        <rFont val="Open Sans"/>
        <family val="2"/>
      </rPr>
      <t>N2</t>
    </r>
    <r>
      <rPr>
        <sz val="11"/>
        <color theme="1"/>
        <rFont val="Open Sans"/>
        <family val="2"/>
      </rPr>
      <t>:</t>
    </r>
  </si>
  <si>
    <t>Keg Size:</t>
  </si>
  <si>
    <t>Dispense Pressure:</t>
  </si>
  <si>
    <t>Gas Usage</t>
  </si>
  <si>
    <t>These spreadsheets are designed to help you determine how many kegs of beer you can expect to dispense from a cylinder of premix gas or a Trumix® gas blending system. The values generated by this program are based on the assumptions that there are no leaks in the system and that no gas is consumed by being dissolved in the beer. Therefore the number of kegs actually dispensed per cylinder will be less than the program indicates.
In order to help correct for this error, on the kegs per cylinder sheet, you can enter an overall correction factor. The correction factor is the percent of total gas that you think you are losing either by leaks or absorption.
Note: Make sure to use our Easy Blend app if you don't already know what blends you have/need.
If you have questions or comments, email us at info@mcdantim.com or please call McDantim @ 406-442-5153 / 888-735-5607.</t>
  </si>
  <si>
    <t>This spreadsheet will help you determine your required flow rate for your system based on your peak flow rate.
You will want to input your maximum "Beer Flow Rate" in terms of pints per minute, this will tell you the absolute minimum flow rate you will need for your peak serving time.
For the keg size, dispense pressure, and blend, make sure to use the most popular product for these variables.</t>
  </si>
  <si>
    <t>100% CO2</t>
  </si>
  <si>
    <t>100% N2</t>
  </si>
  <si>
    <t>Correction Factor:</t>
  </si>
  <si>
    <t>(overall)</t>
  </si>
  <si>
    <t>Lbs</t>
  </si>
  <si>
    <t>Service Pressure (ATM)</t>
  </si>
  <si>
    <t>cft</t>
  </si>
  <si>
    <t>N2 (cyl)</t>
  </si>
  <si>
    <t>N2 (cal)</t>
  </si>
  <si>
    <t>N2 (in between)</t>
  </si>
  <si>
    <t>Pretty Table</t>
  </si>
  <si>
    <t>LBs</t>
  </si>
  <si>
    <t>*Estimated Values based on multiple online manufacturer specs</t>
  </si>
  <si>
    <t>CO2
cu. ft.</t>
  </si>
  <si>
    <t>N2 (2100 PSI)
cu. ft.</t>
  </si>
  <si>
    <t>CO2
LB Cyl.</t>
  </si>
  <si>
    <r>
      <t xml:space="preserve">To the side </t>
    </r>
    <r>
      <rPr>
        <sz val="11"/>
        <color theme="1"/>
        <rFont val="Calibri"/>
        <family val="2"/>
      </rPr>
      <t>→</t>
    </r>
    <r>
      <rPr>
        <sz val="11"/>
        <color theme="1"/>
        <rFont val="Open Sans"/>
        <family val="2"/>
      </rPr>
      <t xml:space="preserve">, we give </t>
    </r>
    <r>
      <rPr>
        <b/>
        <sz val="11"/>
        <color theme="1"/>
        <rFont val="Open Sans"/>
        <family val="2"/>
      </rPr>
      <t xml:space="preserve">estimated values </t>
    </r>
    <r>
      <rPr>
        <sz val="11"/>
        <color theme="1"/>
        <rFont val="Open Sans"/>
        <family val="2"/>
      </rPr>
      <t>of nitrogen based on a typical CO2 cylinder size. To find out the exact amount, speak to your gas supplier.
For example, if you have N2 in a "20lb CO2 cylinder" you can see that the table indicates roughly 53 cu. ft. of N2 at 2100 PSI. 
NOTE: there is not 20lbs of N2 in that "20lb CO2 cylinder". Typically, N2 is sold by the cubic foot, while CO2 is sold by the pound. Also, our estimated N2 values are based on the fact that the cylinders were filled at 2100. This means that if your cylinder was filled at a different pressure, you will have either more or less N2 in that cylinder.</t>
    </r>
  </si>
  <si>
    <r>
      <t xml:space="preserve">This spreadsheet will help you determine how much gas you need based on how many kegs you go through in a month's time. If you have more then 1 Blend/Pure gas in your system, you will need to figure out what pressure each keg is under, the keg size, blend, and kegs per month.
Standard Keg sizes: 15.5 gal, 50 L = 13.2 gal, 1/6 Barrel = 5.17 gal
Correction Factor: In our experience, coupling/uncoupling kegs, line cleaning, small leaks, etc. we normally see about a 15 to 20% gas loss. Enter a value between 15 and 20% into your overall correction factor.
Again, the values generated by this program are based on the assumptions that there are no leaks, other than the estimated correction, in the system and that no gas is consumed by being dissolved in the beer. Therefore, the number of kegs actually dispensed per cylinder will be less than the program indicates. To help correct this error, you can enter an overall correction factor. The correction factor is the percent of total gas that you think you are losing either by leaks or absorption. </t>
    </r>
    <r>
      <rPr>
        <b/>
        <i/>
        <u/>
        <sz val="14"/>
        <color rgb="FFFF0000"/>
        <rFont val="Open Sans"/>
        <family val="2"/>
      </rPr>
      <t>Always keep extra gas on hand!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</si>
</sst>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2" x14ac:knownFonts="1">
    <font>
      <sz val="11"/>
      <color theme="1"/>
      <name val="Calibri"/>
      <family val="2"/>
      <scheme val="minor"/>
    </font>
    <font>
      <sz val="11"/>
      <color theme="1"/>
      <name val="Calibri"/>
      <family val="2"/>
      <scheme val="minor"/>
    </font>
    <font>
      <sz val="11"/>
      <color theme="1"/>
      <name val="Open Sans"/>
      <family val="2"/>
    </font>
    <font>
      <i/>
      <sz val="11"/>
      <color theme="1"/>
      <name val="Open Sans"/>
      <family val="2"/>
    </font>
    <font>
      <b/>
      <i/>
      <sz val="11"/>
      <color theme="1"/>
      <name val="Open Sans"/>
      <family val="2"/>
    </font>
    <font>
      <b/>
      <u/>
      <sz val="11"/>
      <color theme="1"/>
      <name val="Open Sans"/>
      <family val="2"/>
    </font>
    <font>
      <b/>
      <sz val="18"/>
      <color theme="1"/>
      <name val="Open Sans"/>
      <family val="2"/>
    </font>
    <font>
      <b/>
      <sz val="11"/>
      <color theme="1"/>
      <name val="Open Sans"/>
      <family val="2"/>
    </font>
    <font>
      <b/>
      <i/>
      <sz val="11"/>
      <name val="Open Sans"/>
      <family val="2"/>
    </font>
    <font>
      <b/>
      <u val="double"/>
      <sz val="11"/>
      <color theme="1"/>
      <name val="Open Sans"/>
      <family val="2"/>
    </font>
    <font>
      <b/>
      <i/>
      <u/>
      <sz val="14"/>
      <color rgb="FFFF0000"/>
      <name val="Open Sans"/>
      <family val="2"/>
    </font>
    <font>
      <sz val="11"/>
      <color theme="1"/>
      <name val="Calibri"/>
      <family val="2"/>
    </font>
  </fonts>
  <fills count="4">
    <fill>
      <patternFill patternType="none"/>
    </fill>
    <fill>
      <patternFill patternType="gray125"/>
    </fill>
    <fill>
      <patternFill patternType="solid">
        <fgColor rgb="FFFFFFCC"/>
        <bgColor indexed="64"/>
      </patternFill>
    </fill>
    <fill>
      <patternFill patternType="solid">
        <fgColor rgb="FFDDEBF7"/>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indexed="64"/>
      </left>
      <right style="dotted">
        <color theme="2"/>
      </right>
      <top style="thin">
        <color theme="2"/>
      </top>
      <bottom style="thin">
        <color theme="2"/>
      </bottom>
      <diagonal/>
    </border>
    <border>
      <left style="dotted">
        <color theme="2"/>
      </left>
      <right style="dotted">
        <color theme="2"/>
      </right>
      <top style="thin">
        <color theme="2"/>
      </top>
      <bottom style="thin">
        <color theme="2"/>
      </bottom>
      <diagonal/>
    </border>
    <border>
      <left style="dotted">
        <color theme="2"/>
      </left>
      <right style="thin">
        <color indexed="64"/>
      </right>
      <top style="thin">
        <color theme="2"/>
      </top>
      <bottom style="thin">
        <color theme="2"/>
      </bottom>
      <diagonal/>
    </border>
    <border>
      <left style="thin">
        <color indexed="64"/>
      </left>
      <right style="dotted">
        <color theme="2"/>
      </right>
      <top style="thin">
        <color theme="2"/>
      </top>
      <bottom style="thin">
        <color indexed="64"/>
      </bottom>
      <diagonal/>
    </border>
    <border>
      <left style="dotted">
        <color theme="2"/>
      </left>
      <right style="dotted">
        <color theme="2"/>
      </right>
      <top style="thin">
        <color theme="2"/>
      </top>
      <bottom style="thin">
        <color indexed="64"/>
      </bottom>
      <diagonal/>
    </border>
    <border>
      <left style="dotted">
        <color theme="2"/>
      </left>
      <right style="thin">
        <color indexed="64"/>
      </right>
      <top style="thin">
        <color theme="2"/>
      </top>
      <bottom style="thin">
        <color indexed="64"/>
      </bottom>
      <diagonal/>
    </border>
    <border>
      <left style="thin">
        <color indexed="64"/>
      </left>
      <right style="dotted">
        <color theme="2"/>
      </right>
      <top/>
      <bottom style="thin">
        <color theme="2"/>
      </bottom>
      <diagonal/>
    </border>
    <border>
      <left style="dotted">
        <color theme="2"/>
      </left>
      <right style="dotted">
        <color theme="2"/>
      </right>
      <top/>
      <bottom style="thin">
        <color theme="2"/>
      </bottom>
      <diagonal/>
    </border>
    <border>
      <left style="dotted">
        <color theme="2"/>
      </left>
      <right style="thin">
        <color indexed="64"/>
      </right>
      <top/>
      <bottom style="thin">
        <color theme="2"/>
      </bottom>
      <diagonal/>
    </border>
    <border>
      <left style="thin">
        <color indexed="64"/>
      </left>
      <right style="dotted">
        <color theme="2"/>
      </right>
      <top style="thin">
        <color indexed="64"/>
      </top>
      <bottom style="thin">
        <color indexed="64"/>
      </bottom>
      <diagonal/>
    </border>
    <border>
      <left style="dotted">
        <color theme="2"/>
      </left>
      <right style="dotted">
        <color theme="2"/>
      </right>
      <top style="thin">
        <color indexed="64"/>
      </top>
      <bottom style="thin">
        <color indexed="64"/>
      </bottom>
      <diagonal/>
    </border>
    <border>
      <left style="dotted">
        <color theme="2"/>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2" fillId="0" borderId="0" xfId="0" applyFont="1"/>
    <xf numFmtId="0" fontId="3" fillId="0" borderId="0" xfId="0" applyFont="1" applyAlignment="1">
      <alignment horizontal="right"/>
    </xf>
    <xf numFmtId="0" fontId="4" fillId="2" borderId="0" xfId="0" applyFont="1" applyFill="1"/>
    <xf numFmtId="0" fontId="3" fillId="0" borderId="0" xfId="0" applyFont="1" applyFill="1" applyAlignment="1">
      <alignment horizontal="left"/>
    </xf>
    <xf numFmtId="0" fontId="3" fillId="0" borderId="0" xfId="0" applyFont="1" applyFill="1" applyAlignment="1"/>
    <xf numFmtId="0" fontId="3" fillId="0" borderId="0" xfId="0" applyFont="1" applyFill="1" applyAlignment="1">
      <alignment wrapText="1"/>
    </xf>
    <xf numFmtId="0" fontId="2" fillId="0" borderId="6" xfId="0" applyFont="1" applyBorder="1"/>
    <xf numFmtId="0" fontId="2" fillId="0" borderId="7" xfId="0" applyFont="1" applyBorder="1"/>
    <xf numFmtId="0" fontId="2" fillId="0" borderId="8" xfId="0" applyFont="1" applyBorder="1"/>
    <xf numFmtId="0" fontId="2" fillId="0" borderId="5" xfId="0" applyFont="1" applyBorder="1"/>
    <xf numFmtId="0" fontId="2" fillId="0" borderId="0" xfId="0" applyFont="1" applyBorder="1"/>
    <xf numFmtId="0" fontId="2" fillId="0" borderId="9" xfId="0" applyFont="1" applyBorder="1"/>
    <xf numFmtId="0" fontId="2" fillId="0" borderId="5" xfId="0" applyFont="1" applyBorder="1" applyAlignment="1">
      <alignment horizontal="right"/>
    </xf>
    <xf numFmtId="0" fontId="2" fillId="0" borderId="0" xfId="0" applyFont="1" applyFill="1" applyBorder="1" applyAlignment="1">
      <alignment horizontal="right"/>
    </xf>
    <xf numFmtId="0" fontId="2" fillId="0" borderId="0" xfId="0" applyFont="1" applyFill="1" applyBorder="1"/>
    <xf numFmtId="0" fontId="2" fillId="0" borderId="0" xfId="0" applyFont="1" applyBorder="1" applyAlignment="1">
      <alignment horizontal="right"/>
    </xf>
    <xf numFmtId="0" fontId="2" fillId="0" borderId="5" xfId="0" applyFont="1" applyFill="1" applyBorder="1"/>
    <xf numFmtId="0" fontId="2" fillId="0" borderId="0" xfId="0" applyFont="1" applyFill="1" applyBorder="1" applyAlignment="1">
      <alignment horizontal="center"/>
    </xf>
    <xf numFmtId="0" fontId="2" fillId="0" borderId="0" xfId="1" applyNumberFormat="1" applyFont="1" applyFill="1" applyBorder="1" applyAlignment="1">
      <alignment horizontal="center"/>
    </xf>
    <xf numFmtId="0" fontId="2" fillId="0" borderId="5" xfId="0" applyFont="1" applyFill="1" applyBorder="1" applyAlignment="1">
      <alignment horizontal="right"/>
    </xf>
    <xf numFmtId="0" fontId="2" fillId="0" borderId="10" xfId="0" applyFont="1" applyBorder="1"/>
    <xf numFmtId="0" fontId="2" fillId="0" borderId="4" xfId="0" applyFont="1" applyBorder="1"/>
    <xf numFmtId="0" fontId="2" fillId="0" borderId="11" xfId="0" applyFont="1" applyBorder="1"/>
    <xf numFmtId="0" fontId="2" fillId="0" borderId="9" xfId="0" applyFont="1" applyFill="1" applyBorder="1"/>
    <xf numFmtId="0" fontId="2" fillId="0" borderId="0" xfId="0" applyFont="1" applyFill="1"/>
    <xf numFmtId="164" fontId="2" fillId="3" borderId="0" xfId="0" applyNumberFormat="1" applyFont="1" applyFill="1" applyBorder="1" applyAlignment="1">
      <alignment horizontal="right"/>
    </xf>
    <xf numFmtId="0" fontId="2" fillId="0" borderId="0" xfId="0" applyFont="1" applyBorder="1" applyAlignment="1">
      <alignment horizontal="left"/>
    </xf>
    <xf numFmtId="164" fontId="2" fillId="0" borderId="0" xfId="0" applyNumberFormat="1" applyFont="1" applyBorder="1" applyAlignment="1">
      <alignment horizontal="right"/>
    </xf>
    <xf numFmtId="2" fontId="2" fillId="3" borderId="0" xfId="0" applyNumberFormat="1" applyFont="1" applyFill="1" applyBorder="1" applyAlignment="1">
      <alignment horizontal="center"/>
    </xf>
    <xf numFmtId="0" fontId="3" fillId="0" borderId="0" xfId="0" applyFont="1" applyBorder="1" applyAlignment="1">
      <alignment horizontal="right"/>
    </xf>
    <xf numFmtId="0" fontId="8" fillId="3" borderId="0" xfId="0" applyFont="1" applyFill="1" applyAlignment="1"/>
    <xf numFmtId="0" fontId="2" fillId="0" borderId="0" xfId="0" applyFont="1" applyBorder="1" applyAlignment="1">
      <alignment horizontal="center"/>
    </xf>
    <xf numFmtId="0" fontId="8" fillId="0" borderId="0" xfId="0" applyFont="1" applyFill="1" applyAlignment="1"/>
    <xf numFmtId="0" fontId="2" fillId="0" borderId="0" xfId="0" applyFont="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right" vertical="center"/>
    </xf>
    <xf numFmtId="0" fontId="2" fillId="0" borderId="0" xfId="0" applyFont="1" applyAlignment="1">
      <alignment horizontal="right"/>
    </xf>
    <xf numFmtId="0" fontId="2" fillId="0" borderId="0" xfId="0" applyFont="1" applyBorder="1" applyAlignment="1"/>
    <xf numFmtId="0" fontId="2" fillId="0" borderId="0" xfId="0" applyFont="1" applyBorder="1" applyAlignment="1">
      <alignment horizontal="center" vertical="center"/>
    </xf>
    <xf numFmtId="0" fontId="2" fillId="0" borderId="10" xfId="0" applyFont="1" applyBorder="1" applyAlignment="1">
      <alignment horizontal="right"/>
    </xf>
    <xf numFmtId="0" fontId="2" fillId="0" borderId="4" xfId="0" applyFont="1" applyBorder="1" applyAlignment="1">
      <alignment horizontal="center" vertical="center"/>
    </xf>
    <xf numFmtId="0" fontId="2" fillId="0" borderId="4" xfId="0" applyFont="1" applyBorder="1" applyAlignment="1">
      <alignment horizontal="center"/>
    </xf>
    <xf numFmtId="0" fontId="2" fillId="0" borderId="0" xfId="0" applyFont="1" applyBorder="1" applyAlignment="1">
      <alignment vertical="center"/>
    </xf>
    <xf numFmtId="0" fontId="2" fillId="0" borderId="0" xfId="0" applyFont="1" applyFill="1" applyBorder="1" applyAlignment="1">
      <alignment horizontal="center" vertical="center"/>
    </xf>
    <xf numFmtId="9" fontId="2" fillId="0" borderId="0" xfId="1" applyFont="1" applyBorder="1" applyAlignment="1">
      <alignment horizontal="center" vertical="center"/>
    </xf>
    <xf numFmtId="0" fontId="2" fillId="0" borderId="0" xfId="1"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xf numFmtId="0" fontId="5" fillId="0" borderId="5" xfId="0" applyFont="1" applyBorder="1" applyAlignment="1">
      <alignment horizontal="center"/>
    </xf>
    <xf numFmtId="0" fontId="2" fillId="0" borderId="0" xfId="0" applyFont="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164" fontId="2" fillId="3" borderId="0" xfId="0" applyNumberFormat="1" applyFont="1" applyFill="1" applyAlignment="1">
      <alignment horizontal="center" vertical="center"/>
    </xf>
    <xf numFmtId="2" fontId="2" fillId="0" borderId="0" xfId="0" applyNumberFormat="1" applyFont="1" applyFill="1" applyBorder="1" applyAlignment="1">
      <alignment horizontal="left" vertical="center"/>
    </xf>
    <xf numFmtId="0" fontId="4" fillId="2" borderId="0" xfId="0" applyFont="1" applyFill="1" applyAlignment="1"/>
    <xf numFmtId="0" fontId="2" fillId="0" borderId="0" xfId="0" applyFont="1" applyFill="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10" xfId="0" applyFont="1" applyBorder="1" applyAlignment="1"/>
    <xf numFmtId="0" fontId="2" fillId="0" borderId="4" xfId="0" applyFont="1" applyBorder="1" applyAlignment="1"/>
    <xf numFmtId="0" fontId="2" fillId="0" borderId="11" xfId="0" applyFont="1" applyBorder="1" applyAlignment="1"/>
    <xf numFmtId="2" fontId="2" fillId="3" borderId="0" xfId="0" applyNumberFormat="1" applyFont="1" applyFill="1" applyBorder="1" applyAlignment="1">
      <alignment horizontal="center" vertical="center"/>
    </xf>
    <xf numFmtId="0" fontId="2" fillId="0" borderId="0" xfId="0" applyFont="1" applyAlignment="1">
      <alignment horizontal="center" vertical="center"/>
    </xf>
    <xf numFmtId="0" fontId="2" fillId="2" borderId="0" xfId="0" applyFont="1" applyFill="1" applyBorder="1" applyAlignment="1" applyProtection="1">
      <alignment horizontal="center" vertical="center"/>
      <protection locked="0"/>
    </xf>
    <xf numFmtId="9" fontId="2" fillId="2" borderId="0" xfId="1" applyFont="1" applyFill="1" applyBorder="1" applyAlignment="1" applyProtection="1">
      <alignment horizontal="center" vertical="center"/>
      <protection locked="0"/>
    </xf>
    <xf numFmtId="0" fontId="2" fillId="2" borderId="0" xfId="0" applyFont="1" applyFill="1" applyBorder="1" applyAlignment="1" applyProtection="1">
      <alignment horizontal="center"/>
      <protection locked="0"/>
    </xf>
    <xf numFmtId="0" fontId="2" fillId="2" borderId="0" xfId="0" applyFont="1" applyFill="1" applyBorder="1" applyProtection="1">
      <protection locked="0"/>
    </xf>
    <xf numFmtId="0" fontId="2" fillId="2" borderId="0" xfId="1" applyNumberFormat="1" applyFont="1" applyFill="1" applyBorder="1" applyAlignment="1" applyProtection="1">
      <alignment horizontal="center"/>
      <protection locked="0"/>
    </xf>
    <xf numFmtId="9" fontId="2" fillId="2" borderId="0" xfId="1" applyFont="1" applyFill="1" applyBorder="1" applyAlignment="1" applyProtection="1">
      <alignment horizontal="center"/>
      <protection locked="0"/>
    </xf>
    <xf numFmtId="0" fontId="2" fillId="0" borderId="0" xfId="0" applyFont="1" applyBorder="1" applyAlignment="1">
      <alignment horizontal="center" vertical="center"/>
    </xf>
    <xf numFmtId="0" fontId="2" fillId="0" borderId="0" xfId="0" applyFont="1" applyAlignment="1">
      <alignment horizontal="center"/>
    </xf>
    <xf numFmtId="0" fontId="2" fillId="0" borderId="0" xfId="0" applyFont="1" applyBorder="1" applyAlignment="1">
      <alignment horizontal="center"/>
    </xf>
    <xf numFmtId="0" fontId="7" fillId="0" borderId="0" xfId="0" applyFont="1" applyBorder="1"/>
    <xf numFmtId="0" fontId="7" fillId="0" borderId="9" xfId="0" applyFont="1" applyBorder="1"/>
    <xf numFmtId="0" fontId="2" fillId="0" borderId="4" xfId="0" applyFont="1" applyFill="1" applyBorder="1"/>
    <xf numFmtId="9" fontId="7" fillId="0" borderId="5" xfId="1" applyFont="1" applyBorder="1" applyAlignment="1"/>
    <xf numFmtId="9" fontId="7" fillId="0" borderId="0" xfId="1" applyFont="1" applyBorder="1" applyAlignment="1"/>
    <xf numFmtId="165" fontId="2" fillId="0" borderId="0" xfId="1" applyNumberFormat="1" applyFont="1" applyBorder="1" applyAlignment="1">
      <alignment horizontal="center" vertical="center"/>
    </xf>
    <xf numFmtId="166" fontId="2" fillId="0" borderId="0" xfId="0" applyNumberFormat="1" applyFont="1" applyBorder="1" applyAlignment="1">
      <alignment horizontal="center" vertical="center"/>
    </xf>
    <xf numFmtId="165" fontId="2" fillId="0" borderId="0" xfId="1" applyNumberFormat="1" applyFont="1" applyAlignment="1">
      <alignment horizontal="center" vertical="center"/>
    </xf>
    <xf numFmtId="0" fontId="7" fillId="0" borderId="0" xfId="1" applyNumberFormat="1" applyFont="1" applyBorder="1" applyAlignment="1">
      <alignment horizontal="center"/>
    </xf>
    <xf numFmtId="0" fontId="7" fillId="0" borderId="0" xfId="1" applyNumberFormat="1" applyFont="1" applyBorder="1" applyAlignment="1"/>
    <xf numFmtId="0" fontId="5" fillId="0" borderId="0" xfId="1" applyNumberFormat="1" applyFont="1" applyBorder="1" applyAlignment="1"/>
    <xf numFmtId="0" fontId="5" fillId="0" borderId="0" xfId="1" applyNumberFormat="1" applyFont="1" applyBorder="1" applyAlignment="1">
      <alignment horizontal="center"/>
    </xf>
    <xf numFmtId="0" fontId="2" fillId="0" borderId="0" xfId="0" applyFont="1" applyAlignment="1">
      <alignment horizontal="left" vertic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4" xfId="0" applyFont="1" applyBorder="1" applyAlignment="1">
      <alignment vertical="top" wrapText="1"/>
    </xf>
    <xf numFmtId="0" fontId="2" fillId="0" borderId="11" xfId="0" applyFont="1" applyBorder="1" applyAlignment="1">
      <alignment vertical="top" wrapText="1"/>
    </xf>
    <xf numFmtId="0" fontId="2" fillId="0" borderId="30" xfId="0" applyFont="1" applyBorder="1" applyAlignment="1">
      <alignment horizontal="center" vertical="top" wrapText="1"/>
    </xf>
    <xf numFmtId="0" fontId="2" fillId="0" borderId="27" xfId="0" applyFont="1" applyBorder="1" applyAlignment="1">
      <alignment horizontal="center" vertical="top" wrapText="1"/>
    </xf>
    <xf numFmtId="0" fontId="2" fillId="0" borderId="21" xfId="0" applyFont="1" applyBorder="1" applyAlignment="1">
      <alignment horizontal="center" vertical="top" wrapText="1"/>
    </xf>
    <xf numFmtId="0" fontId="2" fillId="0" borderId="24" xfId="0"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4" xfId="0" applyFont="1" applyBorder="1" applyAlignment="1">
      <alignment horizontal="center"/>
    </xf>
    <xf numFmtId="0" fontId="6" fillId="0" borderId="0" xfId="0" applyFont="1" applyAlignment="1">
      <alignment horizontal="center"/>
    </xf>
    <xf numFmtId="0" fontId="6" fillId="0" borderId="0" xfId="0" applyFont="1" applyBorder="1" applyAlignment="1">
      <alignment horizontal="center"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5" fillId="0" borderId="5"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0" fontId="6" fillId="0" borderId="0"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wrapText="1"/>
    </xf>
    <xf numFmtId="0" fontId="2" fillId="0" borderId="0" xfId="0" applyFont="1" applyBorder="1" applyAlignment="1">
      <alignment horizontal="left" wrapText="1"/>
    </xf>
    <xf numFmtId="0" fontId="2" fillId="0" borderId="9" xfId="0" applyFont="1" applyBorder="1" applyAlignment="1">
      <alignment horizontal="left" wrapText="1"/>
    </xf>
    <xf numFmtId="0" fontId="7" fillId="0" borderId="4" xfId="0" applyFont="1" applyBorder="1" applyAlignment="1">
      <alignment horizontal="center"/>
    </xf>
    <xf numFmtId="0" fontId="6" fillId="0" borderId="4" xfId="0" applyFont="1" applyFill="1" applyBorder="1" applyAlignment="1">
      <alignment horizontal="center"/>
    </xf>
    <xf numFmtId="0" fontId="2" fillId="0" borderId="0" xfId="0" applyFont="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xf>
    <xf numFmtId="0" fontId="2" fillId="2" borderId="0" xfId="1" applyNumberFormat="1" applyFont="1" applyFill="1" applyBorder="1" applyAlignment="1" applyProtection="1">
      <alignment horizontal="center" vertical="center"/>
      <protection locked="0"/>
    </xf>
  </cellXfs>
  <cellStyles count="2">
    <cellStyle name="Normal" xfId="0" builtinId="0"/>
    <cellStyle name="Percent" xfId="1" builtinId="5"/>
  </cellStyles>
  <dxfs count="0"/>
  <tableStyles count="0" defaultTableStyle="TableStyleMedium2" defaultPivotStyle="PivotStyleLight16"/>
  <colors>
    <mruColors>
      <color rgb="FFFFFFCC"/>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xdr:colOff>
      <xdr:row>0</xdr:row>
      <xdr:rowOff>76200</xdr:rowOff>
    </xdr:from>
    <xdr:to>
      <xdr:col>7</xdr:col>
      <xdr:colOff>479556</xdr:colOff>
      <xdr:row>0</xdr:row>
      <xdr:rowOff>807783</xdr:rowOff>
    </xdr:to>
    <xdr:pic>
      <xdr:nvPicPr>
        <xdr:cNvPr id="2" name="Picture 1">
          <a:extLst>
            <a:ext uri="{FF2B5EF4-FFF2-40B4-BE49-F238E27FC236}">
              <a16:creationId xmlns:a16="http://schemas.microsoft.com/office/drawing/2014/main" id="{7168B93A-008A-4A23-A1DF-A00FC779D9DD}"/>
            </a:ext>
          </a:extLst>
        </xdr:cNvPr>
        <xdr:cNvPicPr>
          <a:picLocks noChangeAspect="1"/>
        </xdr:cNvPicPr>
      </xdr:nvPicPr>
      <xdr:blipFill>
        <a:blip xmlns:r="http://schemas.openxmlformats.org/officeDocument/2006/relationships" r:embed="rId1"/>
        <a:stretch>
          <a:fillRect/>
        </a:stretch>
      </xdr:blipFill>
      <xdr:spPr>
        <a:xfrm>
          <a:off x="1905000" y="76200"/>
          <a:ext cx="2975106" cy="731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266700</xdr:colOff>
      <xdr:row>0</xdr:row>
      <xdr:rowOff>123825</xdr:rowOff>
    </xdr:from>
    <xdr:to>
      <xdr:col>8</xdr:col>
      <xdr:colOff>441456</xdr:colOff>
      <xdr:row>0</xdr:row>
      <xdr:rowOff>855408</xdr:rowOff>
    </xdr:to>
    <xdr:pic>
      <xdr:nvPicPr>
        <xdr:cNvPr id="6" name="Picture 5">
          <a:extLst>
            <a:ext uri="{FF2B5EF4-FFF2-40B4-BE49-F238E27FC236}">
              <a16:creationId xmlns:a16="http://schemas.microsoft.com/office/drawing/2014/main" id="{C2C840B8-6C7B-431C-AAA5-12E7A7611E8D}"/>
            </a:ext>
          </a:extLst>
        </xdr:cNvPr>
        <xdr:cNvPicPr>
          <a:picLocks noChangeAspect="1"/>
        </xdr:cNvPicPr>
      </xdr:nvPicPr>
      <xdr:blipFill>
        <a:blip xmlns:r="http://schemas.openxmlformats.org/officeDocument/2006/relationships" r:embed="rId1"/>
        <a:stretch>
          <a:fillRect/>
        </a:stretch>
      </xdr:blipFill>
      <xdr:spPr>
        <a:xfrm>
          <a:off x="3905250" y="123825"/>
          <a:ext cx="2975106" cy="731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190500</xdr:colOff>
      <xdr:row>0</xdr:row>
      <xdr:rowOff>142875</xdr:rowOff>
    </xdr:from>
    <xdr:to>
      <xdr:col>8</xdr:col>
      <xdr:colOff>117606</xdr:colOff>
      <xdr:row>0</xdr:row>
      <xdr:rowOff>874458</xdr:rowOff>
    </xdr:to>
    <xdr:pic>
      <xdr:nvPicPr>
        <xdr:cNvPr id="2" name="Picture 1">
          <a:extLst>
            <a:ext uri="{FF2B5EF4-FFF2-40B4-BE49-F238E27FC236}">
              <a16:creationId xmlns:a16="http://schemas.microsoft.com/office/drawing/2014/main" id="{D1FE9214-A939-4B50-8853-BF9517C37F79}"/>
            </a:ext>
          </a:extLst>
        </xdr:cNvPr>
        <xdr:cNvPicPr>
          <a:picLocks noChangeAspect="1"/>
        </xdr:cNvPicPr>
      </xdr:nvPicPr>
      <xdr:blipFill>
        <a:blip xmlns:r="http://schemas.openxmlformats.org/officeDocument/2006/relationships" r:embed="rId1"/>
        <a:stretch>
          <a:fillRect/>
        </a:stretch>
      </xdr:blipFill>
      <xdr:spPr>
        <a:xfrm>
          <a:off x="2400300" y="142875"/>
          <a:ext cx="2975106" cy="731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E3FE-6C1D-4BAF-98F8-1814D3F8A159}">
  <sheetPr codeName="Sheet1"/>
  <dimension ref="B1:J3"/>
  <sheetViews>
    <sheetView showGridLines="0" tabSelected="1" workbookViewId="0">
      <selection activeCell="B3" sqref="B3:J3"/>
    </sheetView>
  </sheetViews>
  <sheetFormatPr defaultRowHeight="16.5" x14ac:dyDescent="0.3"/>
  <cols>
    <col min="1" max="1" width="4.28515625" style="1" customWidth="1"/>
    <col min="2" max="10" width="10.28515625" style="1" customWidth="1"/>
    <col min="11" max="11" width="4.28515625" style="1" customWidth="1"/>
    <col min="12" max="16384" width="9.140625" style="1"/>
  </cols>
  <sheetData>
    <row r="1" spans="2:10" ht="65.25" customHeight="1" x14ac:dyDescent="0.3"/>
    <row r="2" spans="2:10" ht="27" x14ac:dyDescent="0.5">
      <c r="B2" s="122" t="s">
        <v>70</v>
      </c>
      <c r="C2" s="122"/>
      <c r="D2" s="122"/>
      <c r="E2" s="122"/>
      <c r="F2" s="122"/>
      <c r="G2" s="122"/>
      <c r="H2" s="122"/>
      <c r="I2" s="122"/>
      <c r="J2" s="122"/>
    </row>
    <row r="3" spans="2:10" ht="255" customHeight="1" x14ac:dyDescent="0.3">
      <c r="B3" s="119" t="s">
        <v>71</v>
      </c>
      <c r="C3" s="120"/>
      <c r="D3" s="120"/>
      <c r="E3" s="120"/>
      <c r="F3" s="120"/>
      <c r="G3" s="120"/>
      <c r="H3" s="120"/>
      <c r="I3" s="120"/>
      <c r="J3" s="121"/>
    </row>
  </sheetData>
  <sheetProtection algorithmName="SHA-512" hashValue="ZvdU9dhoUoPlZAmePZLXsoRqi5uZDb0ncuUAtRQ+UCdorX/og45nHKz3T1onhymM6uE1QFmGbdU+CgjBDkUXdQ==" saltValue="OiGd+PRIhoik9Brlo97LxA==" spinCount="100000" sheet="1" selectLockedCells="1"/>
  <mergeCells count="2">
    <mergeCell ref="B3:J3"/>
    <mergeCell ref="B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4B60B-DC8A-4BC0-B63E-AC33823872AD}">
  <sheetPr codeName="Sheet2">
    <pageSetUpPr fitToPage="1"/>
  </sheetPr>
  <dimension ref="B1:M58"/>
  <sheetViews>
    <sheetView showGridLines="0" workbookViewId="0">
      <selection activeCell="C19" sqref="C19"/>
    </sheetView>
  </sheetViews>
  <sheetFormatPr defaultRowHeight="16.5" x14ac:dyDescent="0.3"/>
  <cols>
    <col min="1" max="1" width="6.28515625" style="1" customWidth="1"/>
    <col min="2" max="2" width="23" style="1" customWidth="1"/>
    <col min="3" max="3" width="11" style="1" customWidth="1"/>
    <col min="4" max="4" width="8" style="1" customWidth="1"/>
    <col min="5" max="5" width="7.42578125" style="1" customWidth="1"/>
    <col min="6" max="6" width="23" style="1" customWidth="1"/>
    <col min="7" max="7" width="11" style="1" customWidth="1"/>
    <col min="8" max="8" width="8" style="1" customWidth="1"/>
    <col min="9" max="9" width="7.42578125" style="1" customWidth="1"/>
    <col min="10" max="10" width="23" style="1" customWidth="1"/>
    <col min="11" max="11" width="11" style="1" customWidth="1"/>
    <col min="12" max="12" width="8" style="1" customWidth="1"/>
    <col min="13" max="13" width="7.42578125" style="1" customWidth="1"/>
    <col min="14" max="16384" width="9.140625" style="1"/>
  </cols>
  <sheetData>
    <row r="1" spans="2:13" ht="67.5" customHeight="1" x14ac:dyDescent="0.3"/>
    <row r="2" spans="2:13" ht="40.5" customHeight="1" x14ac:dyDescent="0.3">
      <c r="B2" s="124" t="s">
        <v>48</v>
      </c>
      <c r="C2" s="124"/>
      <c r="D2" s="124"/>
      <c r="E2" s="124"/>
      <c r="F2" s="124"/>
      <c r="G2" s="124"/>
      <c r="H2" s="124"/>
      <c r="I2" s="124"/>
      <c r="J2" s="124"/>
      <c r="K2" s="124"/>
      <c r="L2" s="124"/>
      <c r="M2" s="124"/>
    </row>
    <row r="3" spans="2:13" ht="202.5" customHeight="1" x14ac:dyDescent="0.3">
      <c r="B3" s="125" t="s">
        <v>90</v>
      </c>
      <c r="C3" s="126"/>
      <c r="D3" s="126"/>
      <c r="E3" s="126"/>
      <c r="F3" s="126"/>
      <c r="G3" s="126"/>
      <c r="H3" s="126"/>
      <c r="I3" s="126"/>
      <c r="J3" s="126"/>
      <c r="K3" s="126"/>
      <c r="L3" s="126"/>
      <c r="M3" s="127"/>
    </row>
    <row r="4" spans="2:13" ht="16.5" customHeight="1" x14ac:dyDescent="0.3">
      <c r="B4" s="100"/>
      <c r="C4" s="101"/>
      <c r="D4" s="101"/>
      <c r="E4" s="101"/>
      <c r="F4" s="101"/>
      <c r="G4" s="101"/>
      <c r="H4" s="101"/>
      <c r="I4" s="101"/>
      <c r="J4" s="101"/>
      <c r="K4" s="101"/>
      <c r="L4" s="101"/>
      <c r="M4" s="102"/>
    </row>
    <row r="5" spans="2:13" ht="33.75" customHeight="1" x14ac:dyDescent="0.3">
      <c r="B5" s="135" t="s">
        <v>89</v>
      </c>
      <c r="C5" s="136"/>
      <c r="D5" s="136"/>
      <c r="E5" s="136"/>
      <c r="F5" s="136"/>
      <c r="G5" s="136"/>
      <c r="H5" s="115" t="s">
        <v>88</v>
      </c>
      <c r="I5" s="109" t="s">
        <v>86</v>
      </c>
      <c r="J5" s="110" t="s">
        <v>87</v>
      </c>
      <c r="K5" s="111"/>
      <c r="L5" s="111"/>
      <c r="M5" s="112"/>
    </row>
    <row r="6" spans="2:13" ht="16.5" customHeight="1" x14ac:dyDescent="0.3">
      <c r="B6" s="135"/>
      <c r="C6" s="136"/>
      <c r="D6" s="136"/>
      <c r="E6" s="136"/>
      <c r="F6" s="136"/>
      <c r="G6" s="136"/>
      <c r="H6" s="116">
        <v>5</v>
      </c>
      <c r="I6" s="107">
        <v>43.7</v>
      </c>
      <c r="J6" s="108">
        <v>14</v>
      </c>
      <c r="K6" s="101"/>
      <c r="L6" s="101"/>
      <c r="M6" s="102"/>
    </row>
    <row r="7" spans="2:13" ht="16.5" customHeight="1" x14ac:dyDescent="0.3">
      <c r="B7" s="135"/>
      <c r="C7" s="136"/>
      <c r="D7" s="136"/>
      <c r="E7" s="136"/>
      <c r="F7" s="136"/>
      <c r="G7" s="136"/>
      <c r="H7" s="117">
        <v>10</v>
      </c>
      <c r="I7" s="103">
        <v>87.4</v>
      </c>
      <c r="J7" s="104">
        <v>30</v>
      </c>
      <c r="K7" s="101"/>
      <c r="L7" s="101"/>
      <c r="M7" s="102"/>
    </row>
    <row r="8" spans="2:13" ht="16.5" customHeight="1" x14ac:dyDescent="0.3">
      <c r="B8" s="135"/>
      <c r="C8" s="136"/>
      <c r="D8" s="136"/>
      <c r="E8" s="136"/>
      <c r="F8" s="136"/>
      <c r="G8" s="136"/>
      <c r="H8" s="117">
        <v>20</v>
      </c>
      <c r="I8" s="103">
        <v>174.8</v>
      </c>
      <c r="J8" s="104">
        <v>53</v>
      </c>
      <c r="K8" s="101"/>
      <c r="L8" s="101"/>
      <c r="M8" s="102"/>
    </row>
    <row r="9" spans="2:13" ht="16.5" customHeight="1" x14ac:dyDescent="0.3">
      <c r="B9" s="135"/>
      <c r="C9" s="136"/>
      <c r="D9" s="136"/>
      <c r="E9" s="136"/>
      <c r="F9" s="136"/>
      <c r="G9" s="136"/>
      <c r="H9" s="118">
        <v>50</v>
      </c>
      <c r="I9" s="105">
        <v>437.1</v>
      </c>
      <c r="J9" s="106">
        <v>140</v>
      </c>
      <c r="K9" s="101"/>
      <c r="L9" s="101"/>
      <c r="M9" s="102"/>
    </row>
    <row r="10" spans="2:13" ht="6" customHeight="1" x14ac:dyDescent="0.3">
      <c r="B10" s="135"/>
      <c r="C10" s="136"/>
      <c r="D10" s="136"/>
      <c r="E10" s="136"/>
      <c r="F10" s="136"/>
      <c r="G10" s="136"/>
      <c r="H10" s="101"/>
      <c r="I10" s="101"/>
      <c r="J10" s="101"/>
      <c r="K10" s="101"/>
      <c r="L10" s="101"/>
      <c r="M10" s="102"/>
    </row>
    <row r="11" spans="2:13" ht="80.25" customHeight="1" x14ac:dyDescent="0.3">
      <c r="B11" s="137"/>
      <c r="C11" s="138"/>
      <c r="D11" s="138"/>
      <c r="E11" s="138"/>
      <c r="F11" s="138"/>
      <c r="G11" s="138"/>
      <c r="H11" s="113"/>
      <c r="I11" s="113"/>
      <c r="J11" s="113"/>
      <c r="K11" s="113"/>
      <c r="L11" s="113"/>
      <c r="M11" s="114"/>
    </row>
    <row r="12" spans="2:13" ht="6" customHeight="1" x14ac:dyDescent="0.3"/>
    <row r="13" spans="2:13" x14ac:dyDescent="0.3">
      <c r="C13" s="2" t="s">
        <v>0</v>
      </c>
      <c r="D13" s="3" t="s">
        <v>1</v>
      </c>
      <c r="E13" s="4" t="s">
        <v>47</v>
      </c>
      <c r="F13" s="4"/>
      <c r="I13" s="5"/>
    </row>
    <row r="14" spans="2:13" x14ac:dyDescent="0.3">
      <c r="C14" s="30" t="s">
        <v>3</v>
      </c>
      <c r="D14" s="31" t="s">
        <v>4</v>
      </c>
      <c r="E14" s="33"/>
      <c r="F14" s="33"/>
      <c r="G14" s="6"/>
      <c r="I14" s="6"/>
    </row>
    <row r="15" spans="2:13" ht="31.5" customHeight="1" x14ac:dyDescent="0.5">
      <c r="B15" s="122" t="s">
        <v>49</v>
      </c>
      <c r="C15" s="122"/>
      <c r="D15" s="122"/>
      <c r="E15" s="122"/>
      <c r="F15" s="131"/>
      <c r="G15" s="131"/>
      <c r="H15" s="131"/>
      <c r="I15" s="131"/>
      <c r="J15" s="131"/>
      <c r="K15" s="131"/>
      <c r="L15" s="131"/>
      <c r="M15" s="131"/>
    </row>
    <row r="16" spans="2:13" ht="6" customHeight="1" x14ac:dyDescent="0.3">
      <c r="B16" s="7"/>
      <c r="C16" s="8"/>
      <c r="D16" s="8"/>
      <c r="E16" s="8"/>
      <c r="F16" s="7"/>
      <c r="G16" s="8"/>
      <c r="H16" s="8"/>
      <c r="I16" s="8"/>
      <c r="J16" s="8"/>
      <c r="K16" s="8"/>
      <c r="L16" s="8"/>
      <c r="M16" s="9"/>
    </row>
    <row r="17" spans="2:13" ht="15" customHeight="1" x14ac:dyDescent="0.3">
      <c r="B17" s="128" t="s">
        <v>64</v>
      </c>
      <c r="C17" s="129"/>
      <c r="D17" s="129"/>
      <c r="E17" s="129"/>
      <c r="F17" s="50"/>
      <c r="G17" s="129" t="s">
        <v>63</v>
      </c>
      <c r="H17" s="129"/>
      <c r="I17" s="129"/>
      <c r="J17" s="129"/>
      <c r="K17" s="129"/>
      <c r="L17" s="129"/>
      <c r="M17" s="130"/>
    </row>
    <row r="18" spans="2:13" ht="6" customHeight="1" x14ac:dyDescent="0.3">
      <c r="B18" s="10"/>
      <c r="C18" s="11"/>
      <c r="D18" s="11"/>
      <c r="E18" s="15"/>
      <c r="F18" s="17"/>
      <c r="G18" s="11"/>
      <c r="H18" s="11"/>
      <c r="I18" s="11"/>
      <c r="J18" s="11"/>
      <c r="K18" s="11"/>
      <c r="L18" s="11"/>
      <c r="M18" s="12"/>
    </row>
    <row r="19" spans="2:13" x14ac:dyDescent="0.3">
      <c r="B19" s="13" t="s">
        <v>6</v>
      </c>
      <c r="C19" s="68">
        <v>243</v>
      </c>
      <c r="D19" s="69" t="s">
        <v>5</v>
      </c>
      <c r="E19" s="15"/>
      <c r="F19" s="17"/>
      <c r="G19" s="16" t="s">
        <v>10</v>
      </c>
      <c r="H19" s="68">
        <v>240</v>
      </c>
      <c r="I19" s="11" t="s">
        <v>5</v>
      </c>
      <c r="J19" s="14" t="s">
        <v>61</v>
      </c>
      <c r="K19" s="70">
        <v>10</v>
      </c>
      <c r="L19" s="15" t="s">
        <v>26</v>
      </c>
      <c r="M19" s="12"/>
    </row>
    <row r="20" spans="2:13" ht="6" customHeight="1" x14ac:dyDescent="0.3">
      <c r="B20" s="10"/>
      <c r="C20" s="16"/>
      <c r="D20" s="11"/>
      <c r="E20" s="15"/>
      <c r="F20" s="17"/>
      <c r="G20" s="15"/>
      <c r="H20" s="18"/>
      <c r="I20" s="15"/>
      <c r="J20" s="14"/>
      <c r="K20" s="19"/>
      <c r="L20" s="15"/>
      <c r="M20" s="12"/>
    </row>
    <row r="21" spans="2:13" x14ac:dyDescent="0.3">
      <c r="B21" s="13" t="s">
        <v>7</v>
      </c>
      <c r="C21" s="68">
        <v>50</v>
      </c>
      <c r="D21" s="69" t="s">
        <v>8</v>
      </c>
      <c r="E21" s="15"/>
      <c r="F21" s="17"/>
      <c r="G21" s="14" t="s">
        <v>60</v>
      </c>
      <c r="H21" s="70">
        <v>30</v>
      </c>
      <c r="I21" s="15" t="s">
        <v>9</v>
      </c>
      <c r="J21" s="14" t="s">
        <v>62</v>
      </c>
      <c r="K21" s="70">
        <v>15.5</v>
      </c>
      <c r="L21" s="15" t="s">
        <v>24</v>
      </c>
      <c r="M21" s="12"/>
    </row>
    <row r="22" spans="2:13" ht="6" customHeight="1" x14ac:dyDescent="0.3">
      <c r="B22" s="10"/>
      <c r="C22" s="11"/>
      <c r="D22" s="11"/>
      <c r="E22" s="15"/>
      <c r="F22" s="17"/>
      <c r="G22" s="11"/>
      <c r="H22" s="11"/>
      <c r="I22" s="11"/>
      <c r="J22" s="15"/>
      <c r="K22" s="15"/>
      <c r="L22" s="15"/>
      <c r="M22" s="12"/>
    </row>
    <row r="23" spans="2:13" x14ac:dyDescent="0.3">
      <c r="B23" s="13" t="s">
        <v>75</v>
      </c>
      <c r="C23" s="67">
        <v>0.5</v>
      </c>
      <c r="D23" s="87" t="s">
        <v>76</v>
      </c>
      <c r="E23" s="25"/>
      <c r="F23" s="17"/>
      <c r="G23" s="11"/>
      <c r="H23" s="11"/>
      <c r="I23" s="11"/>
      <c r="J23" s="11"/>
      <c r="K23" s="11"/>
      <c r="L23" s="11"/>
      <c r="M23" s="12"/>
    </row>
    <row r="24" spans="2:13" ht="6" customHeight="1" x14ac:dyDescent="0.3">
      <c r="B24" s="10"/>
      <c r="C24" s="11"/>
      <c r="D24" s="11"/>
      <c r="E24" s="11"/>
      <c r="F24" s="21"/>
      <c r="G24" s="22"/>
      <c r="H24" s="22"/>
      <c r="I24" s="22"/>
      <c r="J24" s="22"/>
      <c r="K24" s="22"/>
      <c r="L24" s="22"/>
      <c r="M24" s="23"/>
    </row>
    <row r="25" spans="2:13" ht="15" customHeight="1" x14ac:dyDescent="0.3">
      <c r="B25" s="132" t="s">
        <v>50</v>
      </c>
      <c r="C25" s="133"/>
      <c r="D25" s="133"/>
      <c r="E25" s="134"/>
      <c r="F25" s="132" t="s">
        <v>51</v>
      </c>
      <c r="G25" s="133"/>
      <c r="H25" s="133"/>
      <c r="I25" s="134"/>
      <c r="J25" s="128" t="s">
        <v>52</v>
      </c>
      <c r="K25" s="129"/>
      <c r="L25" s="129"/>
      <c r="M25" s="130"/>
    </row>
    <row r="26" spans="2:13" ht="6" customHeight="1" x14ac:dyDescent="0.3">
      <c r="B26" s="10"/>
      <c r="C26" s="11"/>
      <c r="D26" s="11"/>
      <c r="E26" s="12"/>
      <c r="F26" s="11"/>
      <c r="G26" s="11"/>
      <c r="H26" s="11"/>
      <c r="I26" s="12"/>
      <c r="J26" s="10"/>
      <c r="K26" s="11"/>
      <c r="L26" s="11"/>
      <c r="M26" s="12"/>
    </row>
    <row r="27" spans="2:13" x14ac:dyDescent="0.3">
      <c r="B27" s="13" t="s">
        <v>53</v>
      </c>
      <c r="C27" s="71">
        <v>0.25</v>
      </c>
      <c r="D27" s="11" t="s">
        <v>56</v>
      </c>
      <c r="E27" s="12"/>
      <c r="F27" s="16" t="s">
        <v>53</v>
      </c>
      <c r="G27" s="71"/>
      <c r="H27" s="11" t="s">
        <v>56</v>
      </c>
      <c r="J27" s="13" t="s">
        <v>53</v>
      </c>
      <c r="K27" s="71"/>
      <c r="L27" s="11" t="s">
        <v>56</v>
      </c>
      <c r="M27" s="12"/>
    </row>
    <row r="28" spans="2:13" ht="6" customHeight="1" x14ac:dyDescent="0.3">
      <c r="B28" s="10"/>
      <c r="C28" s="11"/>
      <c r="D28" s="11"/>
      <c r="E28" s="12"/>
      <c r="F28" s="11"/>
      <c r="G28" s="11"/>
      <c r="H28" s="11"/>
      <c r="J28" s="10"/>
      <c r="K28" s="11"/>
      <c r="L28" s="11"/>
      <c r="M28" s="12"/>
    </row>
    <row r="29" spans="2:13" ht="15" customHeight="1" x14ac:dyDescent="0.3">
      <c r="B29" s="13" t="s">
        <v>23</v>
      </c>
      <c r="C29" s="68">
        <v>13.2</v>
      </c>
      <c r="D29" s="11" t="s">
        <v>24</v>
      </c>
      <c r="E29" s="12"/>
      <c r="F29" s="16" t="s">
        <v>23</v>
      </c>
      <c r="G29" s="68"/>
      <c r="H29" s="11" t="s">
        <v>24</v>
      </c>
      <c r="J29" s="13" t="s">
        <v>23</v>
      </c>
      <c r="K29" s="68"/>
      <c r="L29" s="11" t="s">
        <v>24</v>
      </c>
      <c r="M29" s="12"/>
    </row>
    <row r="30" spans="2:13" s="25" customFormat="1" ht="6" customHeight="1" x14ac:dyDescent="0.3">
      <c r="B30" s="20"/>
      <c r="C30" s="18"/>
      <c r="D30" s="15"/>
      <c r="E30" s="24"/>
      <c r="F30" s="14"/>
      <c r="G30" s="18"/>
      <c r="H30" s="15"/>
      <c r="J30" s="20"/>
      <c r="K30" s="18"/>
      <c r="L30" s="15"/>
      <c r="M30" s="24"/>
    </row>
    <row r="31" spans="2:13" s="25" customFormat="1" ht="15" customHeight="1" x14ac:dyDescent="0.3">
      <c r="B31" s="13" t="s">
        <v>34</v>
      </c>
      <c r="C31" s="68">
        <v>26</v>
      </c>
      <c r="D31" s="11" t="s">
        <v>9</v>
      </c>
      <c r="E31" s="12"/>
      <c r="F31" s="16" t="s">
        <v>34</v>
      </c>
      <c r="G31" s="68"/>
      <c r="H31" s="11" t="s">
        <v>9</v>
      </c>
      <c r="J31" s="13" t="s">
        <v>34</v>
      </c>
      <c r="K31" s="68"/>
      <c r="L31" s="11" t="s">
        <v>9</v>
      </c>
      <c r="M31" s="24"/>
    </row>
    <row r="32" spans="2:13" s="25" customFormat="1" ht="6" customHeight="1" x14ac:dyDescent="0.3">
      <c r="B32" s="10"/>
      <c r="C32" s="11"/>
      <c r="D32" s="11"/>
      <c r="E32" s="12"/>
      <c r="F32" s="11"/>
      <c r="G32" s="11"/>
      <c r="H32" s="11"/>
      <c r="J32" s="10"/>
      <c r="K32" s="11"/>
      <c r="L32" s="11"/>
      <c r="M32" s="24"/>
    </row>
    <row r="33" spans="2:13" s="25" customFormat="1" ht="15" customHeight="1" x14ac:dyDescent="0.3">
      <c r="B33" s="13" t="s">
        <v>25</v>
      </c>
      <c r="C33" s="68">
        <v>10</v>
      </c>
      <c r="D33" s="11" t="s">
        <v>26</v>
      </c>
      <c r="E33" s="12"/>
      <c r="F33" s="16" t="s">
        <v>25</v>
      </c>
      <c r="G33" s="68"/>
      <c r="H33" s="11" t="s">
        <v>26</v>
      </c>
      <c r="J33" s="13" t="s">
        <v>25</v>
      </c>
      <c r="K33" s="68"/>
      <c r="L33" s="11" t="s">
        <v>26</v>
      </c>
      <c r="M33" s="24"/>
    </row>
    <row r="34" spans="2:13" ht="6" customHeight="1" x14ac:dyDescent="0.3">
      <c r="B34" s="21"/>
      <c r="C34" s="22"/>
      <c r="D34" s="22"/>
      <c r="E34" s="23"/>
      <c r="F34" s="22"/>
      <c r="G34" s="22"/>
      <c r="H34" s="22"/>
      <c r="I34" s="23"/>
      <c r="J34" s="21"/>
      <c r="K34" s="22"/>
      <c r="L34" s="22"/>
      <c r="M34" s="23"/>
    </row>
    <row r="35" spans="2:13" ht="6" customHeight="1" x14ac:dyDescent="0.3">
      <c r="B35" s="10"/>
      <c r="C35" s="11"/>
      <c r="D35" s="11"/>
      <c r="E35" s="11"/>
      <c r="F35" s="11"/>
      <c r="G35" s="11"/>
      <c r="H35" s="11"/>
      <c r="I35" s="11"/>
      <c r="J35" s="11"/>
      <c r="K35" s="11"/>
      <c r="L35" s="11"/>
      <c r="M35" s="12"/>
    </row>
    <row r="36" spans="2:13" ht="15" customHeight="1" x14ac:dyDescent="0.3">
      <c r="B36" s="78"/>
      <c r="C36" s="85" t="s">
        <v>74</v>
      </c>
      <c r="D36" s="79"/>
      <c r="E36" s="79"/>
      <c r="F36" s="11"/>
      <c r="G36" s="11"/>
      <c r="H36" s="11"/>
      <c r="I36" s="11"/>
      <c r="J36" s="75"/>
      <c r="K36" s="86" t="s">
        <v>73</v>
      </c>
      <c r="L36" s="75"/>
      <c r="M36" s="76"/>
    </row>
    <row r="37" spans="2:13" ht="6" customHeight="1" x14ac:dyDescent="0.3">
      <c r="B37" s="78"/>
      <c r="C37" s="84"/>
      <c r="D37" s="79"/>
      <c r="E37" s="79"/>
      <c r="F37" s="11"/>
      <c r="G37" s="11"/>
      <c r="H37" s="11"/>
      <c r="I37" s="11"/>
      <c r="J37" s="75"/>
      <c r="K37" s="83"/>
      <c r="L37" s="75"/>
      <c r="M37" s="76"/>
    </row>
    <row r="38" spans="2:13" ht="15" customHeight="1" x14ac:dyDescent="0.3">
      <c r="B38" s="13" t="s">
        <v>23</v>
      </c>
      <c r="C38" s="147"/>
      <c r="D38" s="11" t="s">
        <v>24</v>
      </c>
      <c r="F38" s="11"/>
      <c r="G38" s="11"/>
      <c r="H38" s="11"/>
      <c r="I38" s="11"/>
      <c r="J38" s="16" t="s">
        <v>23</v>
      </c>
      <c r="K38" s="147"/>
      <c r="L38" s="11" t="s">
        <v>24</v>
      </c>
      <c r="M38" s="12"/>
    </row>
    <row r="39" spans="2:13" ht="6" customHeight="1" x14ac:dyDescent="0.3">
      <c r="B39" s="13"/>
      <c r="C39" s="46"/>
      <c r="D39" s="15"/>
      <c r="F39" s="11"/>
      <c r="G39" s="11"/>
      <c r="H39" s="11"/>
      <c r="I39" s="11"/>
      <c r="J39" s="16"/>
      <c r="K39" s="46"/>
      <c r="L39" s="15"/>
      <c r="M39" s="12"/>
    </row>
    <row r="40" spans="2:13" ht="15" customHeight="1" x14ac:dyDescent="0.3">
      <c r="B40" s="13" t="s">
        <v>34</v>
      </c>
      <c r="C40" s="66"/>
      <c r="D40" s="11" t="s">
        <v>9</v>
      </c>
      <c r="F40" s="11"/>
      <c r="G40" s="11"/>
      <c r="H40" s="11"/>
      <c r="I40" s="11"/>
      <c r="J40" s="16" t="s">
        <v>34</v>
      </c>
      <c r="K40" s="66"/>
      <c r="L40" s="11" t="s">
        <v>9</v>
      </c>
      <c r="M40" s="12"/>
    </row>
    <row r="41" spans="2:13" ht="6" customHeight="1" x14ac:dyDescent="0.3">
      <c r="B41" s="13"/>
      <c r="C41" s="72"/>
      <c r="D41" s="11"/>
      <c r="F41" s="11"/>
      <c r="G41" s="11"/>
      <c r="H41" s="11"/>
      <c r="I41" s="11"/>
      <c r="J41" s="16"/>
      <c r="K41" s="72"/>
      <c r="L41" s="11"/>
      <c r="M41" s="12"/>
    </row>
    <row r="42" spans="2:13" ht="15" customHeight="1" x14ac:dyDescent="0.3">
      <c r="B42" s="13" t="s">
        <v>25</v>
      </c>
      <c r="C42" s="66"/>
      <c r="D42" s="11" t="s">
        <v>26</v>
      </c>
      <c r="F42" s="11"/>
      <c r="G42" s="11"/>
      <c r="H42" s="11"/>
      <c r="I42" s="11"/>
      <c r="J42" s="16" t="s">
        <v>25</v>
      </c>
      <c r="K42" s="66"/>
      <c r="L42" s="11" t="s">
        <v>26</v>
      </c>
      <c r="M42" s="12"/>
    </row>
    <row r="43" spans="2:13" ht="6" customHeight="1" x14ac:dyDescent="0.3">
      <c r="B43" s="21"/>
      <c r="C43" s="22"/>
      <c r="D43" s="77"/>
      <c r="E43" s="22"/>
      <c r="F43" s="22"/>
      <c r="G43" s="22"/>
      <c r="H43" s="22"/>
      <c r="I43" s="22"/>
      <c r="J43" s="22"/>
      <c r="K43" s="22"/>
      <c r="L43" s="22"/>
      <c r="M43" s="23"/>
    </row>
    <row r="44" spans="2:13" ht="35.25" customHeight="1" x14ac:dyDescent="0.5">
      <c r="B44" s="123" t="s">
        <v>11</v>
      </c>
      <c r="C44" s="123"/>
      <c r="D44" s="123"/>
      <c r="E44" s="123"/>
      <c r="F44" s="123"/>
      <c r="G44" s="123"/>
      <c r="H44" s="123"/>
      <c r="I44" s="123"/>
      <c r="J44" s="123"/>
      <c r="K44" s="123"/>
      <c r="L44" s="123"/>
      <c r="M44" s="123"/>
    </row>
    <row r="45" spans="2:13" ht="6" customHeight="1" x14ac:dyDescent="0.3">
      <c r="B45" s="7"/>
      <c r="C45" s="8"/>
      <c r="D45" s="8"/>
      <c r="E45" s="8"/>
      <c r="F45" s="8"/>
      <c r="G45" s="8"/>
      <c r="H45" s="8"/>
      <c r="I45" s="8"/>
      <c r="J45" s="8"/>
      <c r="K45" s="8"/>
      <c r="L45" s="8"/>
      <c r="M45" s="9"/>
    </row>
    <row r="46" spans="2:13" x14ac:dyDescent="0.3">
      <c r="B46" s="10"/>
      <c r="C46" s="11"/>
      <c r="D46" s="11"/>
      <c r="E46" s="11"/>
      <c r="F46" s="11"/>
      <c r="G46" s="26">
        <f>Calculations!C23</f>
        <v>41.440866667312619</v>
      </c>
      <c r="H46" s="27" t="str">
        <f>"Kegs per "&amp;C19&amp;" "&amp;D19&amp;" of N2"</f>
        <v>Kegs per 243 cu. ft. of N2</v>
      </c>
      <c r="I46" s="11"/>
      <c r="J46" s="11"/>
      <c r="K46" s="11"/>
      <c r="L46" s="11"/>
      <c r="M46" s="12"/>
    </row>
    <row r="47" spans="2:13" ht="6" customHeight="1" x14ac:dyDescent="0.3">
      <c r="B47" s="10"/>
      <c r="C47" s="11"/>
      <c r="D47" s="11"/>
      <c r="E47" s="11"/>
      <c r="F47" s="11"/>
      <c r="G47" s="28"/>
      <c r="H47" s="27"/>
      <c r="I47" s="11"/>
      <c r="J47" s="11"/>
      <c r="K47" s="11"/>
      <c r="L47" s="11"/>
      <c r="M47" s="12"/>
    </row>
    <row r="48" spans="2:13" x14ac:dyDescent="0.3">
      <c r="B48" s="10"/>
      <c r="C48" s="11"/>
      <c r="D48" s="11"/>
      <c r="E48" s="11"/>
      <c r="F48" s="11"/>
      <c r="G48" s="26">
        <f>Calculations!C25</f>
        <v>313.05152666751741</v>
      </c>
      <c r="H48" s="27" t="str">
        <f>"Kegs per "&amp;C21&amp;" "&amp;D21&amp;" of CO2"</f>
        <v>Kegs per 50 lbs. of CO2</v>
      </c>
      <c r="I48" s="11"/>
      <c r="J48" s="11"/>
      <c r="K48" s="11"/>
      <c r="L48" s="11"/>
      <c r="M48" s="12"/>
    </row>
    <row r="49" spans="2:13" ht="14.25" customHeight="1" x14ac:dyDescent="0.3">
      <c r="B49" s="10"/>
      <c r="C49" s="11"/>
      <c r="D49" s="11"/>
      <c r="E49" s="11"/>
      <c r="F49" s="11"/>
      <c r="G49" s="28"/>
      <c r="H49" s="27"/>
      <c r="I49" s="11"/>
      <c r="J49" s="11"/>
      <c r="K49" s="11"/>
      <c r="L49" s="11"/>
      <c r="M49" s="12"/>
    </row>
    <row r="50" spans="2:13" x14ac:dyDescent="0.3">
      <c r="B50" s="10"/>
      <c r="C50" s="11"/>
      <c r="D50" s="11"/>
      <c r="E50" s="11"/>
      <c r="F50" s="11"/>
      <c r="G50" s="26">
        <f>Calculations!C27</f>
        <v>19.041902941682974</v>
      </c>
      <c r="H50" s="27" t="str">
        <f>"Kegs per "&amp;H19&amp;" "&amp;I19&amp;" of Premixed Gas"</f>
        <v>Kegs per 240 cu. ft. of Premixed Gas</v>
      </c>
      <c r="I50" s="11"/>
      <c r="J50" s="11"/>
      <c r="K50" s="11"/>
      <c r="L50" s="11"/>
      <c r="M50" s="12"/>
    </row>
    <row r="51" spans="2:13" ht="6" customHeight="1" x14ac:dyDescent="0.3">
      <c r="B51" s="10"/>
      <c r="C51" s="11"/>
      <c r="D51" s="11"/>
      <c r="E51" s="11"/>
      <c r="F51" s="11"/>
      <c r="G51" s="11"/>
      <c r="H51" s="11"/>
      <c r="I51" s="11"/>
      <c r="J51" s="11"/>
      <c r="K51" s="11"/>
      <c r="L51" s="11"/>
      <c r="M51" s="12"/>
    </row>
    <row r="52" spans="2:13" x14ac:dyDescent="0.3">
      <c r="B52" s="10"/>
      <c r="C52" s="11"/>
      <c r="D52" s="11"/>
      <c r="E52" s="11"/>
      <c r="F52" s="11"/>
      <c r="G52" s="11"/>
      <c r="H52" s="11"/>
      <c r="I52" s="11"/>
      <c r="J52" s="11"/>
      <c r="K52" s="11"/>
      <c r="L52" s="11"/>
      <c r="M52" s="12"/>
    </row>
    <row r="53" spans="2:13" x14ac:dyDescent="0.3">
      <c r="B53" s="10"/>
      <c r="C53" s="11"/>
      <c r="D53" s="11"/>
      <c r="E53" s="11"/>
      <c r="F53" s="16" t="str">
        <f>"If I use a total of "&amp;(Kegs_per_month1+Kegs_per_month2+Kegs_per_month3+Kegs_per_month100N2+Kegs_per_month100CO2)&amp;" kegs per month, I would need at least"</f>
        <v>If I use a total of 10 kegs per month, I would need at least</v>
      </c>
      <c r="G53" s="29">
        <f>Calculations!C24</f>
        <v>0.24130769465513413</v>
      </c>
      <c r="H53" s="11" t="str">
        <f>V_N2&amp;" "&amp;Units_N2&amp;" N2 tank(s)"</f>
        <v>243 cu. ft. N2 tank(s)</v>
      </c>
      <c r="K53" s="11"/>
      <c r="L53" s="11"/>
      <c r="M53" s="12"/>
    </row>
    <row r="54" spans="2:13" ht="6" customHeight="1" x14ac:dyDescent="0.3">
      <c r="B54" s="10"/>
      <c r="C54" s="11"/>
      <c r="D54" s="11"/>
      <c r="E54" s="11"/>
      <c r="F54" s="11"/>
      <c r="G54" s="11"/>
      <c r="H54" s="11"/>
      <c r="K54" s="11"/>
      <c r="L54" s="11"/>
      <c r="M54" s="12"/>
    </row>
    <row r="55" spans="2:13" x14ac:dyDescent="0.3">
      <c r="B55" s="10"/>
      <c r="C55" s="11"/>
      <c r="D55" s="11"/>
      <c r="E55" s="11"/>
      <c r="F55" s="16"/>
      <c r="G55" s="29">
        <f>Calculations!C26</f>
        <v>3.1943623167890497E-2</v>
      </c>
      <c r="H55" s="11" t="str">
        <f>V_CO2&amp;" "&amp;Units_CO2&amp;" CO2 tank(s)"</f>
        <v>50 lbs. CO2 tank(s)</v>
      </c>
      <c r="K55" s="11"/>
      <c r="L55" s="11"/>
      <c r="M55" s="12"/>
    </row>
    <row r="56" spans="2:13" ht="14.25" customHeight="1" x14ac:dyDescent="0.3">
      <c r="B56" s="10"/>
      <c r="C56" s="11"/>
      <c r="D56" s="11"/>
      <c r="E56" s="11"/>
      <c r="F56" s="11"/>
      <c r="G56" s="11"/>
      <c r="H56" s="11"/>
      <c r="K56" s="11"/>
      <c r="L56" s="11"/>
      <c r="M56" s="12"/>
    </row>
    <row r="57" spans="2:13" x14ac:dyDescent="0.3">
      <c r="B57" s="10"/>
      <c r="C57" s="11"/>
      <c r="D57" s="11"/>
      <c r="E57" s="11"/>
      <c r="F57" s="16" t="str">
        <f>"If I use "&amp;(Kegs_per_month_Premix)&amp;" kegs per month, I would need at least"</f>
        <v>If I use 10 kegs per month, I would need at least</v>
      </c>
      <c r="G57" s="29">
        <f>Calculations!C28</f>
        <v>0.52515759746416257</v>
      </c>
      <c r="H57" s="11" t="str">
        <f>V_PM&amp;" "&amp;I19&amp;" Premixed tank(s)"</f>
        <v>240 cu. ft. Premixed tank(s)</v>
      </c>
      <c r="K57" s="11"/>
      <c r="L57" s="11"/>
      <c r="M57" s="12"/>
    </row>
    <row r="58" spans="2:13" ht="6" customHeight="1" x14ac:dyDescent="0.3">
      <c r="B58" s="21"/>
      <c r="C58" s="22"/>
      <c r="D58" s="22"/>
      <c r="E58" s="22"/>
      <c r="F58" s="22"/>
      <c r="G58" s="22"/>
      <c r="H58" s="22"/>
      <c r="I58" s="22"/>
      <c r="J58" s="22"/>
      <c r="K58" s="22"/>
      <c r="L58" s="22"/>
      <c r="M58" s="23"/>
    </row>
  </sheetData>
  <sheetProtection algorithmName="SHA-512" hashValue="m6pktiXZriYWuaPhZR14yBayrwl1PhRglJyFhjwxpqyhhGMUnmY4ob3Jnf57qErcwGR7yvdnLNwVaOGE6Arwsw==" saltValue="2ERYsejOaOf1uTMN/Bh13w==" spinCount="100000" sheet="1" selectLockedCells="1"/>
  <mergeCells count="10">
    <mergeCell ref="B44:M44"/>
    <mergeCell ref="B2:M2"/>
    <mergeCell ref="B3:M3"/>
    <mergeCell ref="J25:M25"/>
    <mergeCell ref="G17:M17"/>
    <mergeCell ref="B17:E17"/>
    <mergeCell ref="B15:M15"/>
    <mergeCell ref="B25:E25"/>
    <mergeCell ref="F25:I25"/>
    <mergeCell ref="B5:G11"/>
  </mergeCells>
  <pageMargins left="0.7" right="0.7" top="0.75" bottom="0.75" header="0.3" footer="0.3"/>
  <pageSetup scale="8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F949DE5-1B5C-4341-88E6-2D415F4864A0}">
          <x14:formula1>
            <xm:f>Calculations!$C$9:$C$11</xm:f>
          </x14:formula1>
          <xm:sqref>D21</xm:sqref>
        </x14:dataValidation>
        <x14:dataValidation type="list" allowBlank="1" showInputMessage="1" showErrorMessage="1" xr:uid="{49D1939F-BE43-4CAC-A174-9BA082D2BE47}">
          <x14:formula1>
            <xm:f>Calculations!$G$9:$G$11</xm:f>
          </x14:formula1>
          <xm:sqref>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0145-91B1-45D6-89FD-EA2B3A9162E6}">
  <sheetPr codeName="Sheet3">
    <pageSetUpPr fitToPage="1"/>
  </sheetPr>
  <dimension ref="B1:N26"/>
  <sheetViews>
    <sheetView showGridLines="0" workbookViewId="0">
      <selection activeCell="D9" sqref="D9"/>
    </sheetView>
  </sheetViews>
  <sheetFormatPr defaultRowHeight="16.5" x14ac:dyDescent="0.3"/>
  <cols>
    <col min="1" max="1" width="9.140625" style="1"/>
    <col min="2" max="2" width="14.85546875" style="1" customWidth="1"/>
    <col min="3" max="3" width="13.28515625" style="1" customWidth="1"/>
    <col min="4" max="16384" width="9.140625" style="1"/>
  </cols>
  <sheetData>
    <row r="1" spans="2:11" ht="73.5" customHeight="1" x14ac:dyDescent="0.3"/>
    <row r="2" spans="2:11" ht="27" customHeight="1" x14ac:dyDescent="0.3">
      <c r="B2" s="142" t="s">
        <v>38</v>
      </c>
      <c r="C2" s="142"/>
      <c r="D2" s="142"/>
      <c r="E2" s="142"/>
      <c r="F2" s="142"/>
      <c r="G2" s="142"/>
      <c r="H2" s="142"/>
      <c r="I2" s="142"/>
      <c r="J2" s="142"/>
      <c r="K2" s="142"/>
    </row>
    <row r="3" spans="2:11" ht="138.75" customHeight="1" x14ac:dyDescent="0.3">
      <c r="B3" s="119" t="s">
        <v>72</v>
      </c>
      <c r="C3" s="120"/>
      <c r="D3" s="120"/>
      <c r="E3" s="120"/>
      <c r="F3" s="120"/>
      <c r="G3" s="120"/>
      <c r="H3" s="120"/>
      <c r="I3" s="120"/>
      <c r="J3" s="120"/>
      <c r="K3" s="121"/>
    </row>
    <row r="4" spans="2:11" ht="6" customHeight="1" x14ac:dyDescent="0.3"/>
    <row r="5" spans="2:11" s="49" customFormat="1" x14ac:dyDescent="0.3">
      <c r="C5" s="2" t="s">
        <v>0</v>
      </c>
      <c r="D5" s="56" t="s">
        <v>1</v>
      </c>
      <c r="E5" s="5" t="s">
        <v>2</v>
      </c>
    </row>
    <row r="6" spans="2:11" s="49" customFormat="1" x14ac:dyDescent="0.3">
      <c r="C6" s="30" t="s">
        <v>3</v>
      </c>
      <c r="D6" s="31" t="s">
        <v>4</v>
      </c>
      <c r="E6" s="6"/>
    </row>
    <row r="7" spans="2:11" s="57" customFormat="1" ht="30.75" customHeight="1" x14ac:dyDescent="0.5">
      <c r="B7" s="143" t="s">
        <v>49</v>
      </c>
      <c r="C7" s="143"/>
      <c r="D7" s="143"/>
      <c r="E7" s="143"/>
      <c r="F7" s="143"/>
      <c r="G7" s="143"/>
      <c r="H7" s="143"/>
      <c r="I7" s="143"/>
      <c r="J7" s="143"/>
      <c r="K7" s="143"/>
    </row>
    <row r="8" spans="2:11" s="49" customFormat="1" ht="6" customHeight="1" x14ac:dyDescent="0.3">
      <c r="B8" s="58"/>
      <c r="C8" s="59"/>
      <c r="D8" s="59"/>
      <c r="E8" s="59"/>
      <c r="F8" s="59"/>
      <c r="G8" s="59"/>
      <c r="H8" s="59"/>
      <c r="I8" s="59"/>
      <c r="J8" s="59"/>
      <c r="K8" s="60"/>
    </row>
    <row r="9" spans="2:11" s="51" customFormat="1" x14ac:dyDescent="0.25">
      <c r="B9" s="52"/>
      <c r="C9" s="37" t="s">
        <v>39</v>
      </c>
      <c r="D9" s="66">
        <v>21</v>
      </c>
      <c r="E9" s="44" t="s">
        <v>35</v>
      </c>
      <c r="H9" s="37" t="s">
        <v>68</v>
      </c>
      <c r="I9" s="66">
        <v>15.5</v>
      </c>
      <c r="J9" s="44" t="s">
        <v>24</v>
      </c>
      <c r="K9" s="53"/>
    </row>
    <row r="10" spans="2:11" s="51" customFormat="1" ht="6" customHeight="1" x14ac:dyDescent="0.25">
      <c r="B10" s="52"/>
      <c r="C10" s="44"/>
      <c r="D10" s="44"/>
      <c r="E10" s="44"/>
      <c r="H10" s="44"/>
      <c r="I10" s="48"/>
      <c r="J10" s="44"/>
      <c r="K10" s="53"/>
    </row>
    <row r="11" spans="2:11" s="51" customFormat="1" ht="15" customHeight="1" x14ac:dyDescent="0.25">
      <c r="B11" s="52"/>
      <c r="C11" s="44"/>
      <c r="D11" s="54">
        <f>Calculations!C31</f>
        <v>10.161290322580644</v>
      </c>
      <c r="E11" s="55" t="s">
        <v>37</v>
      </c>
      <c r="H11" s="37" t="s">
        <v>69</v>
      </c>
      <c r="I11" s="66">
        <v>30</v>
      </c>
      <c r="J11" s="44" t="s">
        <v>9</v>
      </c>
      <c r="K11" s="53"/>
    </row>
    <row r="12" spans="2:11" s="51" customFormat="1" ht="6" customHeight="1" x14ac:dyDescent="0.25">
      <c r="B12" s="52"/>
      <c r="C12" s="44"/>
      <c r="D12" s="44"/>
      <c r="E12" s="44"/>
      <c r="H12" s="44"/>
      <c r="I12" s="48"/>
      <c r="J12" s="44"/>
      <c r="K12" s="53"/>
    </row>
    <row r="13" spans="2:11" s="51" customFormat="1" ht="15" customHeight="1" x14ac:dyDescent="0.25">
      <c r="B13" s="52"/>
      <c r="C13" s="37"/>
      <c r="H13" s="37" t="s">
        <v>53</v>
      </c>
      <c r="I13" s="67">
        <v>0.6</v>
      </c>
      <c r="J13" s="44"/>
      <c r="K13" s="53"/>
    </row>
    <row r="14" spans="2:11" s="49" customFormat="1" ht="6" customHeight="1" x14ac:dyDescent="0.3">
      <c r="B14" s="61"/>
      <c r="C14" s="62"/>
      <c r="D14" s="62"/>
      <c r="E14" s="62"/>
      <c r="F14" s="62"/>
      <c r="G14" s="62"/>
      <c r="H14" s="62"/>
      <c r="I14" s="62"/>
      <c r="J14" s="62"/>
      <c r="K14" s="63"/>
    </row>
    <row r="15" spans="2:11" s="49" customFormat="1" ht="30" customHeight="1" x14ac:dyDescent="0.5">
      <c r="B15" s="123" t="s">
        <v>11</v>
      </c>
      <c r="C15" s="123"/>
      <c r="D15" s="123"/>
      <c r="E15" s="123"/>
      <c r="F15" s="123"/>
      <c r="G15" s="123"/>
      <c r="H15" s="123"/>
      <c r="I15" s="123"/>
      <c r="J15" s="123"/>
      <c r="K15" s="123"/>
    </row>
    <row r="16" spans="2:11" ht="6" customHeight="1" x14ac:dyDescent="0.3">
      <c r="B16" s="7"/>
      <c r="C16" s="8"/>
      <c r="D16" s="8"/>
      <c r="E16" s="8"/>
      <c r="F16" s="8"/>
      <c r="G16" s="8"/>
      <c r="H16" s="8"/>
      <c r="I16" s="8"/>
      <c r="J16" s="8"/>
      <c r="K16" s="9"/>
    </row>
    <row r="17" spans="2:14" ht="31.5" customHeight="1" x14ac:dyDescent="0.3">
      <c r="B17" s="139" t="str">
        <f>"For your given values of "&amp;MROUND(Calculations!C31, 0.1)&amp;" kegs per hour (with your keg size set to "&amp;Keg_Size_LSD&amp;" gal/keg), gauge pressure set at "&amp;P_dispense_LSD&amp;" psi, and blend at "&amp;100*Blend_LSD&amp;"%, you will need:"</f>
        <v>For your given values of 10.2 kegs per hour (with your keg size set to 15.5 gal/keg), gauge pressure set at 30 psi, and blend at 60%, you will need:</v>
      </c>
      <c r="C17" s="140"/>
      <c r="D17" s="140"/>
      <c r="E17" s="140"/>
      <c r="F17" s="140"/>
      <c r="G17" s="140"/>
      <c r="H17" s="140"/>
      <c r="I17" s="140"/>
      <c r="J17" s="140"/>
      <c r="K17" s="141"/>
    </row>
    <row r="18" spans="2:14" ht="6" customHeight="1" x14ac:dyDescent="0.3">
      <c r="B18" s="10"/>
      <c r="C18" s="11"/>
      <c r="D18" s="11"/>
      <c r="E18" s="11"/>
      <c r="F18" s="11"/>
      <c r="G18" s="11"/>
      <c r="H18" s="11"/>
      <c r="I18" s="11"/>
      <c r="J18" s="11"/>
      <c r="K18" s="12"/>
    </row>
    <row r="19" spans="2:14" s="51" customFormat="1" x14ac:dyDescent="0.25">
      <c r="B19" s="52"/>
      <c r="C19" s="44"/>
      <c r="D19" s="44"/>
      <c r="E19" s="37" t="s">
        <v>66</v>
      </c>
      <c r="F19" s="64">
        <f>Calculations!C33</f>
        <v>64.026606816258678</v>
      </c>
      <c r="G19" s="44" t="s">
        <v>43</v>
      </c>
      <c r="H19" s="44"/>
      <c r="I19" s="44"/>
      <c r="J19" s="44"/>
      <c r="K19" s="53"/>
    </row>
    <row r="20" spans="2:14" s="51" customFormat="1" ht="6" customHeight="1" x14ac:dyDescent="0.25">
      <c r="B20" s="52"/>
      <c r="C20" s="44"/>
      <c r="D20" s="44"/>
      <c r="E20" s="44"/>
      <c r="F20" s="65"/>
      <c r="H20" s="44"/>
      <c r="I20" s="44"/>
      <c r="J20" s="44"/>
      <c r="K20" s="53"/>
      <c r="M20" s="44"/>
      <c r="N20" s="44"/>
    </row>
    <row r="21" spans="2:14" s="51" customFormat="1" ht="15" customHeight="1" x14ac:dyDescent="0.25">
      <c r="B21" s="52"/>
      <c r="C21" s="44"/>
      <c r="D21" s="44"/>
      <c r="E21" s="44"/>
      <c r="F21" s="64">
        <f>Calculations!C32</f>
        <v>30.22118701796407</v>
      </c>
      <c r="G21" s="44" t="s">
        <v>46</v>
      </c>
      <c r="H21" s="44"/>
      <c r="I21" s="44"/>
      <c r="J21" s="44"/>
      <c r="K21" s="53"/>
    </row>
    <row r="22" spans="2:14" s="51" customFormat="1" ht="6" customHeight="1" x14ac:dyDescent="0.25">
      <c r="B22" s="52"/>
      <c r="C22" s="44"/>
      <c r="D22" s="44"/>
      <c r="E22" s="44"/>
      <c r="F22" s="48"/>
      <c r="G22" s="44"/>
      <c r="H22" s="44"/>
      <c r="I22" s="44"/>
      <c r="J22" s="44"/>
      <c r="K22" s="53"/>
    </row>
    <row r="23" spans="2:14" s="51" customFormat="1" x14ac:dyDescent="0.25">
      <c r="B23" s="52"/>
      <c r="C23" s="44"/>
      <c r="D23" s="44"/>
      <c r="E23" s="37" t="s">
        <v>67</v>
      </c>
      <c r="F23" s="64">
        <f>Calculations!C35</f>
        <v>25.610642726503471</v>
      </c>
      <c r="G23" s="44" t="s">
        <v>43</v>
      </c>
      <c r="H23" s="44"/>
      <c r="I23" s="44"/>
      <c r="J23" s="44"/>
      <c r="K23" s="53"/>
    </row>
    <row r="24" spans="2:14" s="51" customFormat="1" ht="6" customHeight="1" x14ac:dyDescent="0.25">
      <c r="B24" s="52"/>
      <c r="C24" s="44"/>
      <c r="D24" s="44"/>
      <c r="E24" s="44"/>
      <c r="F24" s="65"/>
      <c r="H24" s="44"/>
      <c r="I24" s="44"/>
      <c r="J24" s="44"/>
      <c r="K24" s="53"/>
    </row>
    <row r="25" spans="2:14" s="51" customFormat="1" x14ac:dyDescent="0.25">
      <c r="B25" s="52"/>
      <c r="C25" s="44"/>
      <c r="D25" s="44"/>
      <c r="E25" s="44"/>
      <c r="F25" s="64">
        <f>Calculations!C34</f>
        <v>12.088474807185628</v>
      </c>
      <c r="G25" s="44" t="s">
        <v>46</v>
      </c>
      <c r="H25" s="44"/>
      <c r="I25" s="44"/>
      <c r="J25" s="44"/>
      <c r="K25" s="53"/>
    </row>
    <row r="26" spans="2:14" ht="6" customHeight="1" x14ac:dyDescent="0.3">
      <c r="B26" s="21"/>
      <c r="C26" s="22"/>
      <c r="D26" s="22"/>
      <c r="E26" s="22"/>
      <c r="F26" s="22"/>
      <c r="G26" s="22"/>
      <c r="H26" s="22"/>
      <c r="I26" s="22"/>
      <c r="J26" s="22"/>
      <c r="K26" s="23"/>
    </row>
  </sheetData>
  <sheetProtection algorithmName="SHA-512" hashValue="niTXZnbhLghdLONEAEWUIpAvuRTW7puRih17hWZn5VtmGnVprf8kHJukARjHRHPFhlKyR/mTgMUnW9cHh862FQ==" saltValue="hHB8/Av8iNHYUarhQhAPrQ==" spinCount="100000" sheet="1" selectLockedCells="1"/>
  <mergeCells count="5">
    <mergeCell ref="B17:K17"/>
    <mergeCell ref="B15:K15"/>
    <mergeCell ref="B3:K3"/>
    <mergeCell ref="B2:K2"/>
    <mergeCell ref="B7:K7"/>
  </mergeCells>
  <pageMargins left="0.7" right="0.7" top="0.75" bottom="0.75" header="0.3" footer="0.3"/>
  <pageSetup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63049-C4E3-4F36-8109-AAA909CDD3E6}">
  <sheetPr codeName="Sheet4"/>
  <dimension ref="A1:Q39"/>
  <sheetViews>
    <sheetView topLeftCell="A4" workbookViewId="0">
      <selection activeCell="C25" sqref="C25"/>
    </sheetView>
  </sheetViews>
  <sheetFormatPr defaultRowHeight="16.5" x14ac:dyDescent="0.3"/>
  <cols>
    <col min="1" max="1" width="27.7109375" style="1" customWidth="1"/>
    <col min="2" max="2" width="29.28515625" style="1" customWidth="1"/>
    <col min="3" max="3" width="10.5703125" style="1" customWidth="1"/>
    <col min="4" max="4" width="9.140625" style="1"/>
    <col min="5" max="5" width="11.42578125" style="1" customWidth="1"/>
    <col min="6" max="6" width="9.140625" style="1"/>
    <col min="7" max="7" width="10.5703125" style="1" customWidth="1"/>
    <col min="8" max="8" width="11.85546875" style="1" customWidth="1"/>
    <col min="9" max="9" width="9.140625" style="1"/>
    <col min="10" max="10" width="18.5703125" style="1" customWidth="1"/>
    <col min="11" max="11" width="9.28515625" style="1" customWidth="1"/>
    <col min="12" max="12" width="9.140625" style="1"/>
    <col min="13" max="13" width="17.7109375" style="1" customWidth="1"/>
    <col min="14" max="16384" width="9.140625" style="1"/>
  </cols>
  <sheetData>
    <row r="1" spans="1:12" x14ac:dyDescent="0.3">
      <c r="A1" s="35"/>
      <c r="B1" s="36" t="s">
        <v>5</v>
      </c>
      <c r="C1" s="36" t="s">
        <v>12</v>
      </c>
      <c r="D1" s="8"/>
      <c r="E1" s="8"/>
      <c r="F1" s="8"/>
      <c r="G1" s="8"/>
      <c r="H1" s="8"/>
      <c r="I1" s="11"/>
      <c r="J1" s="144" t="s">
        <v>65</v>
      </c>
      <c r="K1" s="144"/>
    </row>
    <row r="2" spans="1:12" x14ac:dyDescent="0.3">
      <c r="A2" s="13" t="s">
        <v>13</v>
      </c>
      <c r="B2" s="32">
        <v>0.13368099999999999</v>
      </c>
      <c r="C2" s="32">
        <v>128</v>
      </c>
      <c r="D2" s="11"/>
      <c r="E2" s="16" t="s">
        <v>21</v>
      </c>
      <c r="F2" s="32">
        <v>14.696</v>
      </c>
      <c r="G2" s="11"/>
      <c r="H2" s="11"/>
      <c r="I2" s="11"/>
      <c r="J2" s="37" t="s">
        <v>57</v>
      </c>
      <c r="K2" s="34">
        <f>Keg_size_Premix*B2</f>
        <v>2.0720554999999998</v>
      </c>
    </row>
    <row r="3" spans="1:12" x14ac:dyDescent="0.3">
      <c r="A3" s="13"/>
      <c r="B3" s="32"/>
      <c r="C3" s="32"/>
      <c r="D3" s="11"/>
      <c r="E3" s="11"/>
      <c r="F3" s="11"/>
      <c r="G3" s="11"/>
      <c r="H3" s="11"/>
      <c r="I3" s="11"/>
      <c r="J3" s="38" t="s">
        <v>22</v>
      </c>
      <c r="K3" s="34">
        <f>(P_premixed+P_ATM)/P_ATM</f>
        <v>3.0413718018508438</v>
      </c>
    </row>
    <row r="4" spans="1:12" x14ac:dyDescent="0.3">
      <c r="A4" s="13"/>
      <c r="B4" s="32">
        <v>2.1185999999999998</v>
      </c>
      <c r="C4" s="27" t="s">
        <v>45</v>
      </c>
      <c r="D4" s="11"/>
      <c r="E4" s="11"/>
      <c r="F4" s="11"/>
      <c r="G4" s="11"/>
      <c r="H4" s="11"/>
      <c r="I4" s="11"/>
      <c r="J4" s="38"/>
      <c r="K4" s="34"/>
    </row>
    <row r="5" spans="1:12" x14ac:dyDescent="0.3">
      <c r="A5" s="13"/>
      <c r="B5" s="32">
        <v>0.47317599999999999</v>
      </c>
      <c r="C5" s="27" t="s">
        <v>40</v>
      </c>
      <c r="D5" s="11"/>
      <c r="E5" s="11"/>
      <c r="F5" s="11"/>
      <c r="G5" s="11"/>
      <c r="H5" s="11"/>
      <c r="I5" s="11"/>
      <c r="J5" s="38"/>
      <c r="K5" s="34"/>
    </row>
    <row r="6" spans="1:12" x14ac:dyDescent="0.3">
      <c r="A6" s="13"/>
      <c r="B6" s="16">
        <v>8</v>
      </c>
      <c r="C6" s="39" t="s">
        <v>36</v>
      </c>
      <c r="D6" s="11"/>
      <c r="E6" s="11"/>
      <c r="F6" s="11"/>
      <c r="G6" s="11"/>
      <c r="H6" s="11"/>
      <c r="I6" s="11"/>
      <c r="J6" s="38"/>
      <c r="K6" s="34"/>
    </row>
    <row r="7" spans="1:12" x14ac:dyDescent="0.3">
      <c r="A7" s="13"/>
      <c r="B7" s="146" t="s">
        <v>14</v>
      </c>
      <c r="C7" s="146"/>
      <c r="D7" s="146"/>
      <c r="E7" s="11"/>
      <c r="F7" s="146" t="s">
        <v>19</v>
      </c>
      <c r="G7" s="146"/>
      <c r="H7" s="146"/>
      <c r="I7" s="32"/>
      <c r="J7" s="34"/>
      <c r="K7" s="34"/>
    </row>
    <row r="8" spans="1:12" x14ac:dyDescent="0.3">
      <c r="A8" s="10"/>
      <c r="B8" s="32"/>
      <c r="C8" s="16"/>
      <c r="D8" s="32" t="s">
        <v>15</v>
      </c>
      <c r="E8" s="11"/>
      <c r="F8" s="40"/>
      <c r="G8" s="32"/>
      <c r="H8" s="40" t="s">
        <v>20</v>
      </c>
      <c r="I8" s="40"/>
      <c r="J8" s="11"/>
      <c r="K8" s="12"/>
    </row>
    <row r="9" spans="1:12" x14ac:dyDescent="0.3">
      <c r="A9" s="13"/>
      <c r="B9" s="40" t="s">
        <v>16</v>
      </c>
      <c r="C9" s="32" t="s">
        <v>8</v>
      </c>
      <c r="D9" s="32">
        <v>0.1144</v>
      </c>
      <c r="E9" s="11"/>
      <c r="F9" s="40" t="s">
        <v>16</v>
      </c>
      <c r="G9" s="32" t="s">
        <v>8</v>
      </c>
      <c r="H9" s="32">
        <v>7.2459999999999997E-2</v>
      </c>
      <c r="I9" s="32"/>
      <c r="J9" s="11"/>
      <c r="K9" s="12"/>
    </row>
    <row r="10" spans="1:12" x14ac:dyDescent="0.3">
      <c r="A10" s="13"/>
      <c r="B10" s="40" t="s">
        <v>17</v>
      </c>
      <c r="C10" s="40" t="s">
        <v>5</v>
      </c>
      <c r="D10" s="40">
        <v>1</v>
      </c>
      <c r="E10" s="11"/>
      <c r="F10" s="40" t="s">
        <v>17</v>
      </c>
      <c r="G10" s="40" t="s">
        <v>5</v>
      </c>
      <c r="H10" s="40">
        <v>1</v>
      </c>
      <c r="I10" s="40"/>
      <c r="J10" s="11"/>
      <c r="K10" s="12"/>
    </row>
    <row r="11" spans="1:12" x14ac:dyDescent="0.3">
      <c r="A11" s="41"/>
      <c r="B11" s="42" t="s">
        <v>18</v>
      </c>
      <c r="C11" s="42" t="s">
        <v>31</v>
      </c>
      <c r="D11" s="43">
        <v>1.349E-2</v>
      </c>
      <c r="E11" s="22"/>
      <c r="F11" s="42" t="s">
        <v>18</v>
      </c>
      <c r="G11" s="42" t="s">
        <v>31</v>
      </c>
      <c r="H11" s="43">
        <v>1.072E-2</v>
      </c>
      <c r="I11" s="43"/>
      <c r="J11" s="22"/>
      <c r="K11" s="23"/>
    </row>
    <row r="12" spans="1:12" x14ac:dyDescent="0.3">
      <c r="A12" s="16"/>
      <c r="B12" s="40"/>
      <c r="C12" s="40"/>
      <c r="D12" s="32"/>
      <c r="E12" s="11"/>
      <c r="F12" s="40"/>
      <c r="G12" s="40"/>
      <c r="H12" s="32"/>
      <c r="I12" s="32"/>
      <c r="J12" s="11"/>
      <c r="K12" s="11"/>
    </row>
    <row r="13" spans="1:12" x14ac:dyDescent="0.3">
      <c r="A13" s="16"/>
      <c r="B13" s="44"/>
      <c r="C13" s="40" t="s">
        <v>50</v>
      </c>
      <c r="D13" s="40" t="s">
        <v>51</v>
      </c>
      <c r="E13" s="40" t="s">
        <v>52</v>
      </c>
      <c r="F13" s="45" t="s">
        <v>19</v>
      </c>
      <c r="G13" s="44" t="s">
        <v>14</v>
      </c>
      <c r="H13" s="44"/>
      <c r="I13" s="40"/>
      <c r="J13" s="44"/>
      <c r="K13" s="44"/>
      <c r="L13" s="44"/>
    </row>
    <row r="14" spans="1:12" x14ac:dyDescent="0.3">
      <c r="A14" s="16"/>
      <c r="B14" s="37" t="s">
        <v>54</v>
      </c>
      <c r="C14" s="80">
        <f>IF(ISBLANK(Blend1), "", (1-Blend1)*Correction_Factor__overall)</f>
        <v>0.375</v>
      </c>
      <c r="D14" s="80" t="str">
        <f>IF(ISBLANK(Blend2),"",(1-Blend2)*Correction_Factor__overall)</f>
        <v/>
      </c>
      <c r="E14" s="80" t="str">
        <f>IF(ISBLANK(Blend3),"",(1-Blend3)*Correction_Factor__overall)</f>
        <v/>
      </c>
      <c r="F14" s="80">
        <f>Correction_Factor__overall</f>
        <v>0.5</v>
      </c>
      <c r="G14" s="80"/>
      <c r="H14" s="27"/>
      <c r="I14" s="27"/>
      <c r="J14" s="37"/>
      <c r="L14" s="27"/>
    </row>
    <row r="15" spans="1:12" x14ac:dyDescent="0.3">
      <c r="A15" s="16"/>
      <c r="B15" s="37" t="s">
        <v>55</v>
      </c>
      <c r="C15" s="80">
        <f>IF(ISBLANK(Blend1),"",Blend1*Correction_Factor__overall)</f>
        <v>0.125</v>
      </c>
      <c r="D15" s="80" t="str">
        <f>IF(ISBLANK(Blend2),"",Blend2*Correction_Factor__overall)</f>
        <v/>
      </c>
      <c r="E15" s="80" t="str">
        <f>IF(ISBLANK(Blend3),"",Blend3*Correction_Factor__overall)</f>
        <v/>
      </c>
      <c r="F15" s="80"/>
      <c r="G15" s="82">
        <f>Correction_Factor__overall</f>
        <v>0.5</v>
      </c>
      <c r="H15" s="27"/>
      <c r="I15" s="27"/>
      <c r="J15" s="37"/>
      <c r="L15" s="27"/>
    </row>
    <row r="16" spans="1:12" x14ac:dyDescent="0.3">
      <c r="A16" s="16"/>
      <c r="B16" s="37" t="s">
        <v>57</v>
      </c>
      <c r="C16" s="47">
        <f>Keg_size1*$B$2</f>
        <v>1.7645891999999999</v>
      </c>
      <c r="D16" s="47">
        <f>Keg_size2*$B$2</f>
        <v>0</v>
      </c>
      <c r="E16" s="47">
        <f>Keg_size3*$B$2</f>
        <v>0</v>
      </c>
      <c r="F16" s="72">
        <f>Keg_size100N2*$B$2</f>
        <v>0</v>
      </c>
      <c r="G16" s="65">
        <f>Keg_size100CO2*$B$2</f>
        <v>0</v>
      </c>
      <c r="H16" s="27"/>
      <c r="I16" s="27"/>
      <c r="J16" s="37"/>
      <c r="L16" s="27"/>
    </row>
    <row r="17" spans="1:17" x14ac:dyDescent="0.3">
      <c r="A17" s="16"/>
      <c r="B17" s="38" t="s">
        <v>22</v>
      </c>
      <c r="C17" s="47">
        <f>(P_dispense1+P_ATM)/P_ATM</f>
        <v>2.7691888949373977</v>
      </c>
      <c r="D17" s="47">
        <f>(P_dispense2+P_ATM)/P_ATM</f>
        <v>1</v>
      </c>
      <c r="E17" s="47">
        <f>(P_dispense3+P_ATM)/P_ATM</f>
        <v>1</v>
      </c>
      <c r="F17" s="72">
        <f>(P_dispense100N2+P_ATM)/P_ATM</f>
        <v>1</v>
      </c>
      <c r="G17" s="65">
        <f>(P_dispense100CO2+P_ATM)/P_ATM</f>
        <v>1</v>
      </c>
      <c r="H17" s="27"/>
      <c r="I17" s="27"/>
      <c r="J17" s="37"/>
      <c r="L17" s="27"/>
    </row>
    <row r="18" spans="1:17" x14ac:dyDescent="0.3">
      <c r="A18" s="16"/>
      <c r="B18" s="37" t="s">
        <v>58</v>
      </c>
      <c r="C18" s="40">
        <f>IF(C16=0, 0, (C16*C17*(1-Blend1))/(1-C14))</f>
        <v>5.8637769801197601</v>
      </c>
      <c r="D18" s="40">
        <f>IF(D16=0, 0, (D16*D17*(1-Blend2))/(1-D14))</f>
        <v>0</v>
      </c>
      <c r="E18" s="40">
        <f>IF(E16=0, 0,(E16*E17*(1-Blend3))/(1-E14))</f>
        <v>0</v>
      </c>
      <c r="F18" s="72">
        <f>IF(F16=0, 0,(F16*F17*(1))/(1-F14))</f>
        <v>0</v>
      </c>
      <c r="G18" s="72"/>
      <c r="H18" s="27"/>
      <c r="I18" s="27"/>
      <c r="J18" s="37"/>
      <c r="K18" s="40"/>
      <c r="L18" s="27"/>
    </row>
    <row r="19" spans="1:17" x14ac:dyDescent="0.3">
      <c r="A19" s="16"/>
      <c r="B19" s="37" t="s">
        <v>59</v>
      </c>
      <c r="C19" s="40">
        <f>IF(C16=0, 0, (C16*C17*(Blend1))/(1-C15))</f>
        <v>1.3961373762189904</v>
      </c>
      <c r="D19" s="40">
        <f>IF(D16=0, 0,(D16*D17*(Blend2))/(1-D15))</f>
        <v>0</v>
      </c>
      <c r="E19" s="40">
        <f>IF(E16=0, 0,(E16*E17*(Blend3))/(1-E15))</f>
        <v>0</v>
      </c>
      <c r="F19" s="72"/>
      <c r="G19" s="72">
        <f>IF(G16=0, 0,(G16*G17*(1))/(1-G15))</f>
        <v>0</v>
      </c>
      <c r="H19" s="32"/>
      <c r="I19" s="32"/>
      <c r="J19" s="11"/>
      <c r="K19" s="11"/>
    </row>
    <row r="20" spans="1:17" x14ac:dyDescent="0.3">
      <c r="A20" s="16"/>
      <c r="B20" s="37"/>
      <c r="C20" s="40"/>
      <c r="D20" s="32"/>
      <c r="E20" s="11"/>
      <c r="F20" s="40"/>
      <c r="G20" s="40"/>
      <c r="H20" s="32"/>
      <c r="I20" s="32"/>
      <c r="J20" s="11"/>
      <c r="K20" s="144" t="s">
        <v>78</v>
      </c>
      <c r="L20" s="144"/>
      <c r="M20" s="144"/>
    </row>
    <row r="21" spans="1:17" x14ac:dyDescent="0.3">
      <c r="A21" s="16"/>
      <c r="B21" s="37"/>
      <c r="C21" s="40"/>
      <c r="D21" s="32"/>
      <c r="E21" s="11"/>
      <c r="F21" s="40"/>
      <c r="G21" s="40"/>
      <c r="H21" s="32"/>
      <c r="I21" s="32"/>
      <c r="J21" s="11"/>
      <c r="K21" s="11"/>
      <c r="L21" s="1">
        <v>1800</v>
      </c>
      <c r="M21" s="1">
        <v>2100</v>
      </c>
    </row>
    <row r="22" spans="1:17" x14ac:dyDescent="0.3">
      <c r="A22" s="16"/>
      <c r="B22" s="145" t="s">
        <v>27</v>
      </c>
      <c r="C22" s="145"/>
      <c r="D22" s="145"/>
      <c r="E22" s="11"/>
      <c r="F22" s="40"/>
      <c r="G22" s="40"/>
      <c r="H22" s="32"/>
      <c r="I22" s="32"/>
      <c r="J22" s="11"/>
      <c r="K22" s="11"/>
      <c r="L22" s="1">
        <f>(L21+P_ATM)/P_ATM</f>
        <v>123.48230811105063</v>
      </c>
      <c r="M22" s="1">
        <f>(M21+P_ATM)/P_ATM</f>
        <v>143.89602612955906</v>
      </c>
    </row>
    <row r="23" spans="1:17" x14ac:dyDescent="0.3">
      <c r="A23" s="16"/>
      <c r="B23" s="37" t="s">
        <v>28</v>
      </c>
      <c r="C23" s="40">
        <f>IFERROR(((V_N2/((VLOOKUP(Units_N2,G9:H11,2,FALSE))))/(C18+D18+E18+F18)), "No N2")</f>
        <v>41.440866667312619</v>
      </c>
      <c r="D23" s="27"/>
      <c r="E23" s="11"/>
      <c r="F23" s="40">
        <f>(V_N2/((VLOOKUP(Units_N2,G9:H11,2,FALSE))))</f>
        <v>243</v>
      </c>
      <c r="G23" s="40"/>
      <c r="H23" s="32"/>
      <c r="I23" s="32"/>
      <c r="J23" s="11" t="s">
        <v>79</v>
      </c>
      <c r="K23" s="74" t="s">
        <v>77</v>
      </c>
      <c r="L23" s="73" t="s">
        <v>14</v>
      </c>
      <c r="M23" s="73" t="s">
        <v>81</v>
      </c>
      <c r="N23" s="73" t="s">
        <v>80</v>
      </c>
      <c r="O23" s="1" t="s">
        <v>82</v>
      </c>
    </row>
    <row r="24" spans="1:17" x14ac:dyDescent="0.3">
      <c r="A24" s="16"/>
      <c r="B24" s="37" t="s">
        <v>32</v>
      </c>
      <c r="C24" s="40">
        <f>IF(C23="No N2", "No N2", (Kegs_per_month1+Kegs_per_month2+Kegs_per_month3+Kegs_per_month100N2)/C23)</f>
        <v>0.24130769465513413</v>
      </c>
      <c r="D24" s="27" t="s">
        <v>33</v>
      </c>
      <c r="E24" s="11"/>
      <c r="F24" s="40"/>
      <c r="G24" s="40"/>
      <c r="H24" s="32"/>
      <c r="I24" s="32"/>
      <c r="J24" s="11">
        <v>0.1</v>
      </c>
      <c r="K24" s="74">
        <v>5</v>
      </c>
      <c r="L24" s="73">
        <f>K24/$D$9</f>
        <v>43.706293706293707</v>
      </c>
      <c r="M24" s="73">
        <f>$M$22*J24</f>
        <v>14.389602612955906</v>
      </c>
      <c r="N24" s="73">
        <v>13.4</v>
      </c>
      <c r="O24" s="1">
        <v>14</v>
      </c>
      <c r="Q24" s="1">
        <f>L24/3</f>
        <v>14.568764568764569</v>
      </c>
    </row>
    <row r="25" spans="1:17" x14ac:dyDescent="0.3">
      <c r="A25" s="16"/>
      <c r="B25" s="37" t="s">
        <v>29</v>
      </c>
      <c r="C25" s="81">
        <f>IF(AND(Blend1=0, Blend2=0, Blend3=0,G16=0), "No CO2",((V_CO2/((VLOOKUP(Units_CO2,C9:D11,2,FALSE))))/(C19+D19+E19+G19)))</f>
        <v>313.05152666751741</v>
      </c>
      <c r="D25" s="27"/>
      <c r="E25" s="11"/>
      <c r="F25" s="40">
        <f>(V_CO2/((VLOOKUP(Units_CO2,C9:D11,2,FALSE))))</f>
        <v>437.06293706293707</v>
      </c>
      <c r="G25" s="40"/>
      <c r="H25" s="32"/>
      <c r="I25" s="32"/>
      <c r="J25" s="11">
        <v>0.21</v>
      </c>
      <c r="K25" s="74">
        <v>10</v>
      </c>
      <c r="L25" s="73">
        <f t="shared" ref="L25:L29" si="0">K25/$D$9</f>
        <v>87.412587412587413</v>
      </c>
      <c r="M25" s="73">
        <f t="shared" ref="M25:M29" si="1">$M$22*J25</f>
        <v>30.218165487207401</v>
      </c>
      <c r="N25" s="73">
        <v>30.5</v>
      </c>
      <c r="O25" s="1">
        <v>30.25</v>
      </c>
      <c r="Q25" s="1">
        <f t="shared" ref="Q25:Q27" si="2">L25/3</f>
        <v>29.137529137529139</v>
      </c>
    </row>
    <row r="26" spans="1:17" x14ac:dyDescent="0.3">
      <c r="A26" s="16"/>
      <c r="B26" s="37" t="s">
        <v>32</v>
      </c>
      <c r="C26" s="40">
        <f>IF(AND(Blend1=0, Blend2=0, Blend3=0,G16=0), "No CO2", (Kegs_per_month1+Kegs_per_month2+Kegs_per_month3+Kegs_per_month100CO2)/C25)</f>
        <v>3.1943623167890497E-2</v>
      </c>
      <c r="D26" s="27" t="s">
        <v>33</v>
      </c>
      <c r="E26" s="11"/>
      <c r="F26" s="40"/>
      <c r="G26" s="40"/>
      <c r="H26" s="32"/>
      <c r="I26" s="32"/>
      <c r="J26" s="11">
        <v>0.36</v>
      </c>
      <c r="K26" s="74">
        <v>20</v>
      </c>
      <c r="L26" s="73">
        <f t="shared" si="0"/>
        <v>174.82517482517483</v>
      </c>
      <c r="M26" s="73">
        <f t="shared" si="1"/>
        <v>51.802569406641261</v>
      </c>
      <c r="N26" s="73">
        <v>55.1</v>
      </c>
      <c r="O26" s="1">
        <v>53.2</v>
      </c>
      <c r="Q26" s="1">
        <f t="shared" si="2"/>
        <v>58.275058275058278</v>
      </c>
    </row>
    <row r="27" spans="1:17" x14ac:dyDescent="0.3">
      <c r="A27" s="16"/>
      <c r="B27" s="37" t="s">
        <v>30</v>
      </c>
      <c r="C27" s="40">
        <f>V_PM/(K2*Boyle_P)*(1-Correction_Factor__overall)</f>
        <v>19.041902941682974</v>
      </c>
      <c r="D27" s="27"/>
      <c r="E27" s="11"/>
      <c r="F27" s="40"/>
      <c r="G27" s="40"/>
      <c r="H27" s="32"/>
      <c r="I27" s="32"/>
      <c r="J27" s="11">
        <v>1.04</v>
      </c>
      <c r="K27" s="74">
        <v>50</v>
      </c>
      <c r="L27" s="73">
        <f t="shared" si="0"/>
        <v>437.06293706293707</v>
      </c>
      <c r="M27" s="73">
        <f t="shared" si="1"/>
        <v>149.65186717474143</v>
      </c>
      <c r="N27" s="73">
        <v>141.5</v>
      </c>
      <c r="O27" s="1">
        <v>145</v>
      </c>
      <c r="Q27" s="1">
        <f t="shared" si="2"/>
        <v>145.6876456876457</v>
      </c>
    </row>
    <row r="28" spans="1:17" x14ac:dyDescent="0.3">
      <c r="A28" s="16"/>
      <c r="B28" s="37" t="s">
        <v>32</v>
      </c>
      <c r="C28" s="40">
        <f>Kegs_per_month_Premix/C27</f>
        <v>0.52515759746416257</v>
      </c>
      <c r="D28" s="27" t="s">
        <v>33</v>
      </c>
      <c r="E28" s="11"/>
      <c r="F28" s="40"/>
      <c r="G28" s="40"/>
      <c r="H28" s="32"/>
      <c r="I28" s="32"/>
      <c r="J28" s="11"/>
      <c r="K28" s="74">
        <v>75</v>
      </c>
      <c r="L28" s="73">
        <f t="shared" si="0"/>
        <v>655.59440559440554</v>
      </c>
      <c r="M28" s="73">
        <f t="shared" si="1"/>
        <v>0</v>
      </c>
      <c r="N28" s="73"/>
    </row>
    <row r="29" spans="1:17" x14ac:dyDescent="0.3">
      <c r="B29" s="38"/>
      <c r="K29" s="73">
        <v>100</v>
      </c>
      <c r="L29" s="73">
        <f t="shared" si="0"/>
        <v>874.12587412587413</v>
      </c>
      <c r="M29" s="73">
        <f t="shared" si="1"/>
        <v>0</v>
      </c>
      <c r="N29" s="73"/>
    </row>
    <row r="30" spans="1:17" x14ac:dyDescent="0.3">
      <c r="A30" s="49"/>
      <c r="B30" s="144" t="s">
        <v>38</v>
      </c>
      <c r="C30" s="144"/>
      <c r="D30" s="144"/>
      <c r="K30" s="73"/>
      <c r="L30" s="73"/>
      <c r="M30" s="73"/>
      <c r="N30" s="73"/>
    </row>
    <row r="31" spans="1:17" x14ac:dyDescent="0.3">
      <c r="B31" s="38"/>
      <c r="C31" s="1">
        <f>Beer_Flow_Rate/pints_in_gal/Keg_Size_LSD*60</f>
        <v>10.161290322580644</v>
      </c>
      <c r="D31" s="1" t="s">
        <v>37</v>
      </c>
      <c r="K31" s="73"/>
      <c r="L31" s="73"/>
      <c r="M31" s="73"/>
      <c r="N31" s="73"/>
    </row>
    <row r="32" spans="1:17" x14ac:dyDescent="0.3">
      <c r="B32" s="38" t="s">
        <v>41</v>
      </c>
      <c r="C32" s="1">
        <f>Beer_Flow_Rate*B5*((P_dispense_LSD+P_ATM)/P_ATM)</f>
        <v>30.22118701796407</v>
      </c>
      <c r="D32" s="1" t="s">
        <v>44</v>
      </c>
      <c r="K32" s="144" t="s">
        <v>83</v>
      </c>
      <c r="L32" s="144"/>
      <c r="M32" s="144"/>
      <c r="N32" s="73"/>
    </row>
    <row r="33" spans="2:13" ht="33" x14ac:dyDescent="0.3">
      <c r="B33" s="38"/>
      <c r="C33" s="1">
        <f>C32*B4</f>
        <v>64.026606816258678</v>
      </c>
      <c r="D33" s="1" t="s">
        <v>43</v>
      </c>
      <c r="K33" s="88" t="s">
        <v>84</v>
      </c>
      <c r="L33" s="89" t="s">
        <v>86</v>
      </c>
      <c r="M33" s="90" t="s">
        <v>87</v>
      </c>
    </row>
    <row r="34" spans="2:13" x14ac:dyDescent="0.3">
      <c r="B34" s="38" t="s">
        <v>42</v>
      </c>
      <c r="C34" s="1">
        <f>C32*(1-Blend_LSD)</f>
        <v>12.088474807185628</v>
      </c>
      <c r="D34" s="1" t="s">
        <v>44</v>
      </c>
      <c r="K34" s="91">
        <v>5</v>
      </c>
      <c r="L34" s="92">
        <f>MROUND(L24,0.1)</f>
        <v>43.7</v>
      </c>
      <c r="M34" s="93">
        <v>14</v>
      </c>
    </row>
    <row r="35" spans="2:13" x14ac:dyDescent="0.3">
      <c r="B35" s="38"/>
      <c r="C35" s="1">
        <f>C34*B4</f>
        <v>25.610642726503471</v>
      </c>
      <c r="D35" s="1" t="s">
        <v>43</v>
      </c>
      <c r="K35" s="94">
        <v>10</v>
      </c>
      <c r="L35" s="95">
        <f t="shared" ref="L35:L37" si="3">MROUND(L25,0.1)</f>
        <v>87.4</v>
      </c>
      <c r="M35" s="96">
        <v>30</v>
      </c>
    </row>
    <row r="36" spans="2:13" x14ac:dyDescent="0.3">
      <c r="B36" s="38"/>
      <c r="K36" s="94">
        <v>20</v>
      </c>
      <c r="L36" s="95">
        <f t="shared" si="3"/>
        <v>174.8</v>
      </c>
      <c r="M36" s="96">
        <v>53</v>
      </c>
    </row>
    <row r="37" spans="2:13" x14ac:dyDescent="0.3">
      <c r="B37" s="38"/>
      <c r="K37" s="97">
        <v>50</v>
      </c>
      <c r="L37" s="98">
        <f t="shared" si="3"/>
        <v>437.1</v>
      </c>
      <c r="M37" s="99">
        <v>140</v>
      </c>
    </row>
    <row r="38" spans="2:13" x14ac:dyDescent="0.3">
      <c r="B38" s="38"/>
      <c r="K38" s="1" t="s">
        <v>85</v>
      </c>
    </row>
    <row r="39" spans="2:13" x14ac:dyDescent="0.3">
      <c r="B39" s="38"/>
    </row>
  </sheetData>
  <sheetProtection algorithmName="SHA-512" hashValue="RBCC2tzN5WSDDEdcLZU+JqfSpi+d37GfL+Xth8yB4arh8T83ZDql+GK32TShdr80xM33/4+4BzmEdKCuLipKmA==" saltValue="6eUyj7XzDr1IpR2saOeUkQ==" spinCount="100000" sheet="1" objects="1" scenarios="1"/>
  <mergeCells count="7">
    <mergeCell ref="K32:M32"/>
    <mergeCell ref="K20:M20"/>
    <mergeCell ref="J1:K1"/>
    <mergeCell ref="B22:D22"/>
    <mergeCell ref="B30:D30"/>
    <mergeCell ref="B7:D7"/>
    <mergeCell ref="F7:H7"/>
  </mergeCells>
  <pageMargins left="0.7" right="0.7" top="0.75" bottom="0.75" header="0.3" footer="0.3"/>
  <pageSetup orientation="portrait" r:id="rId1"/>
  <ignoredErrors>
    <ignoredError sqref="F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34</vt:i4>
      </vt:variant>
    </vt:vector>
  </HeadingPairs>
  <TitlesOfParts>
    <vt:vector size="38" baseType="lpstr">
      <vt:lpstr>How to use this spreadsheet</vt:lpstr>
      <vt:lpstr>Kegs per Cylinder</vt:lpstr>
      <vt:lpstr>Large System Design</vt:lpstr>
      <vt:lpstr>Calculations</vt:lpstr>
      <vt:lpstr>Beer_Flow_Rate</vt:lpstr>
      <vt:lpstr>Blend_LSD</vt:lpstr>
      <vt:lpstr>Blend1</vt:lpstr>
      <vt:lpstr>Blend2</vt:lpstr>
      <vt:lpstr>Blend3</vt:lpstr>
      <vt:lpstr>Boyle_P</vt:lpstr>
      <vt:lpstr>Correction_Factor__overall</vt:lpstr>
      <vt:lpstr>Keg_Size_LSD</vt:lpstr>
      <vt:lpstr>Keg_size_Premix</vt:lpstr>
      <vt:lpstr>Keg_size1</vt:lpstr>
      <vt:lpstr>Keg_size100CO2</vt:lpstr>
      <vt:lpstr>Keg_size100N2</vt:lpstr>
      <vt:lpstr>Keg_size2</vt:lpstr>
      <vt:lpstr>Keg_size3</vt:lpstr>
      <vt:lpstr>Kegs_per_month_Premix</vt:lpstr>
      <vt:lpstr>Kegs_per_month1</vt:lpstr>
      <vt:lpstr>Kegs_per_month100CO2</vt:lpstr>
      <vt:lpstr>Kegs_per_month100N2</vt:lpstr>
      <vt:lpstr>Kegs_per_month2</vt:lpstr>
      <vt:lpstr>Kegs_per_month3</vt:lpstr>
      <vt:lpstr>P_ATM</vt:lpstr>
      <vt:lpstr>P_dispense_LSD</vt:lpstr>
      <vt:lpstr>P_dispense1</vt:lpstr>
      <vt:lpstr>P_dispense100CO2</vt:lpstr>
      <vt:lpstr>P_dispense100N2</vt:lpstr>
      <vt:lpstr>P_dispense2</vt:lpstr>
      <vt:lpstr>P_dispense3</vt:lpstr>
      <vt:lpstr>P_premixed</vt:lpstr>
      <vt:lpstr>pints_in_gal</vt:lpstr>
      <vt:lpstr>Units_CO2</vt:lpstr>
      <vt:lpstr>Units_N2</vt:lpstr>
      <vt:lpstr>V_CO2</vt:lpstr>
      <vt:lpstr>V_N2</vt:lpstr>
      <vt:lpstr>V_PM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Shirley</dc:creator>
  <cp:lastModifiedBy>Emily Shirley</cp:lastModifiedBy>
  <cp:lastPrinted>2018-01-08T16:11:17Z</cp:lastPrinted>
  <dcterms:created xsi:type="dcterms:W3CDTF">2018-01-04T16:35:05Z</dcterms:created>
  <dcterms:modified xsi:type="dcterms:W3CDTF">2018-03-19T18:43:23Z</dcterms:modified>
</cp:coreProperties>
</file>